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4240" windowHeight="12540"/>
  </bookViews>
  <sheets>
    <sheet name="笔试成绩" sheetId="1" r:id="rId1"/>
  </sheets>
  <definedNames>
    <definedName name="_xlnm._FilterDatabase" localSheetId="0" hidden="1">笔试成绩!$A$2:$I$5059</definedName>
  </definedNames>
  <calcPr calcId="144525"/>
</workbook>
</file>

<file path=xl/calcChain.xml><?xml version="1.0" encoding="utf-8"?>
<calcChain xmlns="http://schemas.openxmlformats.org/spreadsheetml/2006/main">
  <c r="D1567" i="1"/>
  <c r="C1567"/>
  <c r="D1561"/>
  <c r="C1561"/>
  <c r="D1562"/>
  <c r="C1562"/>
  <c r="D1565"/>
  <c r="C1565"/>
  <c r="D1564"/>
  <c r="C1564"/>
  <c r="D1557"/>
  <c r="C1557"/>
  <c r="D1566"/>
  <c r="C1566"/>
  <c r="D1556"/>
  <c r="C1556"/>
  <c r="D1554"/>
  <c r="C1554"/>
  <c r="D1560"/>
  <c r="C1560"/>
  <c r="D1559"/>
  <c r="C1559"/>
  <c r="D1555"/>
  <c r="C1555"/>
  <c r="D1558"/>
  <c r="C1558"/>
  <c r="D1563"/>
  <c r="C1563"/>
  <c r="D1540"/>
  <c r="C1540"/>
  <c r="D1553"/>
  <c r="C1553"/>
  <c r="D1552"/>
  <c r="C1552"/>
  <c r="D1551"/>
  <c r="C1551"/>
  <c r="D1550"/>
  <c r="C1550"/>
  <c r="D1539"/>
  <c r="C1539"/>
  <c r="D1545"/>
  <c r="C1545"/>
  <c r="D1549"/>
  <c r="C1549"/>
  <c r="D1544"/>
  <c r="C1544"/>
  <c r="D1548"/>
  <c r="C1548"/>
  <c r="D1542"/>
  <c r="C1542"/>
  <c r="D1547"/>
  <c r="C1547"/>
  <c r="D1546"/>
  <c r="C1546"/>
  <c r="D1543"/>
  <c r="C1543"/>
  <c r="D1541"/>
  <c r="C1541"/>
  <c r="D1591"/>
  <c r="C1591"/>
  <c r="D1580"/>
  <c r="C1580"/>
  <c r="D1586"/>
  <c r="C1586"/>
  <c r="D1602"/>
  <c r="C1602"/>
  <c r="D1595"/>
  <c r="C1595"/>
  <c r="D1588"/>
  <c r="C1588"/>
  <c r="D1592"/>
  <c r="C1592"/>
  <c r="D1593"/>
  <c r="C1593"/>
  <c r="D1589"/>
  <c r="C1589"/>
  <c r="D1577"/>
  <c r="C1577"/>
  <c r="D1594"/>
  <c r="C1594"/>
  <c r="D1579"/>
  <c r="C1579"/>
  <c r="D1596"/>
  <c r="C1596"/>
  <c r="D1601"/>
  <c r="C1601"/>
  <c r="D1581"/>
  <c r="C1581"/>
  <c r="D1597"/>
  <c r="C1597"/>
  <c r="D1600"/>
  <c r="C1600"/>
  <c r="D1575"/>
  <c r="C1575"/>
  <c r="D1598"/>
  <c r="C1598"/>
  <c r="D1578"/>
  <c r="C1578"/>
  <c r="D1582"/>
  <c r="C1582"/>
  <c r="D1583"/>
  <c r="C1583"/>
  <c r="D1599"/>
  <c r="C1599"/>
  <c r="D1590"/>
  <c r="C1590"/>
  <c r="D1523"/>
  <c r="C1523"/>
  <c r="D1526"/>
  <c r="C1526"/>
  <c r="D1522"/>
  <c r="C1522"/>
  <c r="D1524"/>
  <c r="C1524"/>
  <c r="D1521"/>
  <c r="C1521"/>
  <c r="D1525"/>
  <c r="C1525"/>
  <c r="D1570"/>
  <c r="C1570"/>
  <c r="D1574"/>
  <c r="C1574"/>
  <c r="D1571"/>
  <c r="C1571"/>
  <c r="D1573"/>
  <c r="C1573"/>
  <c r="D1572"/>
  <c r="C1572"/>
  <c r="D1568"/>
  <c r="C1568"/>
  <c r="D1569"/>
  <c r="C1569"/>
  <c r="D1519"/>
  <c r="C1519"/>
  <c r="D1518"/>
  <c r="C1518"/>
  <c r="D1516"/>
  <c r="C1516"/>
  <c r="D1517"/>
  <c r="C1517"/>
  <c r="D1520"/>
  <c r="C1520"/>
  <c r="D4927"/>
  <c r="C4927"/>
  <c r="D4921"/>
  <c r="C4921"/>
  <c r="D4949"/>
  <c r="C4949"/>
  <c r="D4950"/>
  <c r="C4950"/>
  <c r="D4916"/>
  <c r="C4916"/>
  <c r="D4930"/>
  <c r="C4930"/>
  <c r="D4936"/>
  <c r="C4936"/>
  <c r="D4951"/>
  <c r="C4951"/>
  <c r="D4965"/>
  <c r="C4965"/>
  <c r="D4948"/>
  <c r="C4948"/>
  <c r="D4924"/>
  <c r="C4924"/>
  <c r="D4923"/>
  <c r="C4923"/>
  <c r="D4920"/>
  <c r="C4920"/>
  <c r="D4943"/>
  <c r="C4943"/>
  <c r="D4925"/>
  <c r="C4925"/>
  <c r="D4964"/>
  <c r="C4964"/>
  <c r="D4928"/>
  <c r="C4928"/>
  <c r="D4963"/>
  <c r="C4963"/>
  <c r="D4938"/>
  <c r="C4938"/>
  <c r="D4945"/>
  <c r="C4945"/>
  <c r="D4962"/>
  <c r="C4962"/>
  <c r="D4961"/>
  <c r="C4961"/>
  <c r="D4942"/>
  <c r="C4942"/>
  <c r="D4919"/>
  <c r="C4919"/>
  <c r="D4960"/>
  <c r="C4960"/>
  <c r="D4935"/>
  <c r="C4935"/>
  <c r="D4929"/>
  <c r="C4929"/>
  <c r="D4940"/>
  <c r="C4940"/>
  <c r="D4959"/>
  <c r="C4959"/>
  <c r="D4947"/>
  <c r="C4947"/>
  <c r="D4941"/>
  <c r="C4941"/>
  <c r="D4917"/>
  <c r="C4917"/>
  <c r="D4958"/>
  <c r="C4958"/>
  <c r="D4931"/>
  <c r="C4931"/>
  <c r="D4933"/>
  <c r="C4933"/>
  <c r="D4957"/>
  <c r="C4957"/>
  <c r="D4956"/>
  <c r="C4956"/>
  <c r="D4934"/>
  <c r="C4934"/>
  <c r="D4939"/>
  <c r="C4939"/>
  <c r="D4955"/>
  <c r="C4955"/>
  <c r="D4926"/>
  <c r="C4926"/>
  <c r="D4918"/>
  <c r="C4918"/>
  <c r="D4954"/>
  <c r="C4954"/>
  <c r="D4946"/>
  <c r="C4946"/>
  <c r="D4953"/>
  <c r="C4953"/>
  <c r="D4932"/>
  <c r="C4932"/>
  <c r="D4952"/>
  <c r="C4952"/>
  <c r="D4922"/>
  <c r="C4922"/>
  <c r="D4937"/>
  <c r="C4937"/>
  <c r="D4944"/>
  <c r="C4944"/>
  <c r="D3722"/>
  <c r="C3722"/>
  <c r="D3769"/>
  <c r="C3769"/>
  <c r="D3748"/>
  <c r="C3748"/>
  <c r="D3768"/>
  <c r="C3768"/>
  <c r="D3767"/>
  <c r="C3767"/>
  <c r="D3766"/>
  <c r="C3766"/>
  <c r="D3745"/>
  <c r="C3745"/>
  <c r="D3765"/>
  <c r="C3765"/>
  <c r="D3764"/>
  <c r="C3764"/>
  <c r="D3734"/>
  <c r="C3734"/>
  <c r="D3763"/>
  <c r="C3763"/>
  <c r="D3762"/>
  <c r="C3762"/>
  <c r="D3761"/>
  <c r="C3761"/>
  <c r="D3728"/>
  <c r="C3728"/>
  <c r="D3742"/>
  <c r="C3742"/>
  <c r="D3730"/>
  <c r="C3730"/>
  <c r="D3760"/>
  <c r="C3760"/>
  <c r="D3759"/>
  <c r="C3759"/>
  <c r="D3751"/>
  <c r="C3751"/>
  <c r="D3758"/>
  <c r="C3758"/>
  <c r="D3721"/>
  <c r="C3721"/>
  <c r="D3744"/>
  <c r="C3744"/>
  <c r="D3729"/>
  <c r="C3729"/>
  <c r="D3725"/>
  <c r="C3725"/>
  <c r="D3720"/>
  <c r="C3720"/>
  <c r="D3746"/>
  <c r="C3746"/>
  <c r="D3739"/>
  <c r="C3739"/>
  <c r="D3731"/>
  <c r="C3731"/>
  <c r="D3750"/>
  <c r="C3750"/>
  <c r="D3726"/>
  <c r="C3726"/>
  <c r="D3757"/>
  <c r="C3757"/>
  <c r="D3756"/>
  <c r="C3756"/>
  <c r="D3755"/>
  <c r="C3755"/>
  <c r="D3740"/>
  <c r="C3740"/>
  <c r="D3736"/>
  <c r="C3736"/>
  <c r="D3724"/>
  <c r="C3724"/>
  <c r="D3738"/>
  <c r="C3738"/>
  <c r="D3741"/>
  <c r="C3741"/>
  <c r="D3754"/>
  <c r="C3754"/>
  <c r="D3723"/>
  <c r="C3723"/>
  <c r="D3732"/>
  <c r="C3732"/>
  <c r="D3733"/>
  <c r="C3733"/>
  <c r="D3749"/>
  <c r="C3749"/>
  <c r="D3719"/>
  <c r="C3719"/>
  <c r="D3752"/>
  <c r="C3752"/>
  <c r="D3735"/>
  <c r="C3735"/>
  <c r="D3737"/>
  <c r="C3737"/>
  <c r="D3753"/>
  <c r="C3753"/>
  <c r="D3747"/>
  <c r="C3747"/>
  <c r="D3727"/>
  <c r="C3727"/>
  <c r="D3743"/>
  <c r="C3743"/>
  <c r="D1729"/>
  <c r="C1729"/>
  <c r="D1745"/>
  <c r="C1745"/>
  <c r="D1724"/>
  <c r="C1724"/>
  <c r="D1719"/>
  <c r="C1719"/>
  <c r="D1744"/>
  <c r="C1744"/>
  <c r="D1731"/>
  <c r="C1731"/>
  <c r="D1743"/>
  <c r="C1743"/>
  <c r="D1742"/>
  <c r="C1742"/>
  <c r="D1741"/>
  <c r="C1741"/>
  <c r="D1740"/>
  <c r="C1740"/>
  <c r="D1739"/>
  <c r="C1739"/>
  <c r="D1726"/>
  <c r="C1726"/>
  <c r="D1738"/>
  <c r="C1738"/>
  <c r="D1737"/>
  <c r="C1737"/>
  <c r="D1720"/>
  <c r="C1720"/>
  <c r="D1732"/>
  <c r="C1732"/>
  <c r="D1725"/>
  <c r="C1725"/>
  <c r="D1727"/>
  <c r="C1727"/>
  <c r="D1736"/>
  <c r="C1736"/>
  <c r="D1735"/>
  <c r="C1735"/>
  <c r="D1730"/>
  <c r="C1730"/>
  <c r="D1728"/>
  <c r="C1728"/>
  <c r="D1734"/>
  <c r="C1734"/>
  <c r="D1733"/>
  <c r="C1733"/>
  <c r="D1722"/>
  <c r="C1722"/>
  <c r="D1721"/>
  <c r="C1721"/>
  <c r="D1718"/>
  <c r="C1718"/>
  <c r="D1723"/>
  <c r="C1723"/>
  <c r="D1614"/>
  <c r="C1614"/>
  <c r="D1639"/>
  <c r="C1639"/>
  <c r="D1627"/>
  <c r="C1627"/>
  <c r="D1650"/>
  <c r="C1650"/>
  <c r="D1606"/>
  <c r="C1606"/>
  <c r="D1649"/>
  <c r="C1649"/>
  <c r="D1609"/>
  <c r="C1609"/>
  <c r="D1648"/>
  <c r="C1648"/>
  <c r="D1620"/>
  <c r="C1620"/>
  <c r="D1610"/>
  <c r="C1610"/>
  <c r="D1633"/>
  <c r="C1633"/>
  <c r="D1647"/>
  <c r="C1647"/>
  <c r="D1616"/>
  <c r="C1616"/>
  <c r="D1605"/>
  <c r="C1605"/>
  <c r="D1618"/>
  <c r="C1618"/>
  <c r="D1636"/>
  <c r="C1636"/>
  <c r="D1623"/>
  <c r="C1623"/>
  <c r="D1611"/>
  <c r="C1611"/>
  <c r="D1625"/>
  <c r="C1625"/>
  <c r="D1646"/>
  <c r="C1646"/>
  <c r="D1615"/>
  <c r="C1615"/>
  <c r="D1612"/>
  <c r="C1612"/>
  <c r="D1628"/>
  <c r="C1628"/>
  <c r="D1631"/>
  <c r="C1631"/>
  <c r="D1619"/>
  <c r="C1619"/>
  <c r="D1637"/>
  <c r="C1637"/>
  <c r="D1624"/>
  <c r="C1624"/>
  <c r="D1622"/>
  <c r="C1622"/>
  <c r="D1613"/>
  <c r="C1613"/>
  <c r="D1607"/>
  <c r="C1607"/>
  <c r="D1645"/>
  <c r="C1645"/>
  <c r="D1644"/>
  <c r="C1644"/>
  <c r="D1643"/>
  <c r="C1643"/>
  <c r="D1635"/>
  <c r="C1635"/>
  <c r="D1632"/>
  <c r="C1632"/>
  <c r="D1642"/>
  <c r="C1642"/>
  <c r="D1641"/>
  <c r="C1641"/>
  <c r="D1638"/>
  <c r="C1638"/>
  <c r="D1621"/>
  <c r="C1621"/>
  <c r="D1634"/>
  <c r="C1634"/>
  <c r="D1629"/>
  <c r="C1629"/>
  <c r="D1608"/>
  <c r="C1608"/>
  <c r="D1640"/>
  <c r="C1640"/>
  <c r="D1626"/>
  <c r="C1626"/>
  <c r="D1630"/>
  <c r="C1630"/>
  <c r="D1617"/>
  <c r="C1617"/>
  <c r="D1461"/>
  <c r="C1461"/>
  <c r="D1197"/>
  <c r="C1197"/>
  <c r="D1460"/>
  <c r="C1460"/>
  <c r="D1094"/>
  <c r="C1094"/>
  <c r="D1083"/>
  <c r="C1083"/>
  <c r="D1284"/>
  <c r="C1284"/>
  <c r="D1459"/>
  <c r="C1459"/>
  <c r="D1458"/>
  <c r="C1458"/>
  <c r="D1078"/>
  <c r="C1078"/>
  <c r="D1156"/>
  <c r="C1156"/>
  <c r="D1086"/>
  <c r="C1086"/>
  <c r="D1457"/>
  <c r="C1457"/>
  <c r="D1322"/>
  <c r="C1322"/>
  <c r="D1456"/>
  <c r="C1456"/>
  <c r="D1070"/>
  <c r="C1070"/>
  <c r="D1455"/>
  <c r="C1455"/>
  <c r="D1454"/>
  <c r="C1454"/>
  <c r="D1275"/>
  <c r="C1275"/>
  <c r="D1259"/>
  <c r="C1259"/>
  <c r="D1453"/>
  <c r="C1453"/>
  <c r="D1074"/>
  <c r="C1074"/>
  <c r="D1452"/>
  <c r="C1452"/>
  <c r="D1260"/>
  <c r="C1260"/>
  <c r="D1112"/>
  <c r="C1112"/>
  <c r="D1245"/>
  <c r="C1245"/>
  <c r="D1451"/>
  <c r="C1451"/>
  <c r="D1263"/>
  <c r="C1263"/>
  <c r="D1014"/>
  <c r="C1014"/>
  <c r="D1068"/>
  <c r="C1068"/>
  <c r="D1238"/>
  <c r="C1238"/>
  <c r="D1288"/>
  <c r="C1288"/>
  <c r="D1254"/>
  <c r="C1254"/>
  <c r="D1177"/>
  <c r="C1177"/>
  <c r="D1093"/>
  <c r="C1093"/>
  <c r="D1450"/>
  <c r="C1450"/>
  <c r="D1090"/>
  <c r="C1090"/>
  <c r="D1301"/>
  <c r="C1301"/>
  <c r="D1105"/>
  <c r="C1105"/>
  <c r="D1449"/>
  <c r="C1449"/>
  <c r="D1280"/>
  <c r="C1280"/>
  <c r="D1061"/>
  <c r="C1061"/>
  <c r="D1319"/>
  <c r="C1319"/>
  <c r="D1448"/>
  <c r="C1448"/>
  <c r="D1034"/>
  <c r="C1034"/>
  <c r="D1096"/>
  <c r="C1096"/>
  <c r="D1146"/>
  <c r="C1146"/>
  <c r="D1447"/>
  <c r="C1447"/>
  <c r="D1446"/>
  <c r="C1446"/>
  <c r="D1445"/>
  <c r="C1445"/>
  <c r="D1444"/>
  <c r="C1444"/>
  <c r="D1247"/>
  <c r="C1247"/>
  <c r="D1095"/>
  <c r="C1095"/>
  <c r="D1327"/>
  <c r="C1327"/>
  <c r="D1106"/>
  <c r="C1106"/>
  <c r="D1249"/>
  <c r="C1249"/>
  <c r="D1152"/>
  <c r="C1152"/>
  <c r="D1305"/>
  <c r="C1305"/>
  <c r="D1084"/>
  <c r="C1084"/>
  <c r="D1443"/>
  <c r="C1443"/>
  <c r="D1121"/>
  <c r="C1121"/>
  <c r="D1140"/>
  <c r="C1140"/>
  <c r="D1442"/>
  <c r="C1442"/>
  <c r="D1441"/>
  <c r="C1441"/>
  <c r="D1440"/>
  <c r="C1440"/>
  <c r="D1439"/>
  <c r="C1439"/>
  <c r="D1207"/>
  <c r="C1207"/>
  <c r="D1020"/>
  <c r="C1020"/>
  <c r="D1230"/>
  <c r="C1230"/>
  <c r="D1438"/>
  <c r="C1438"/>
  <c r="D1242"/>
  <c r="C1242"/>
  <c r="D1033"/>
  <c r="C1033"/>
  <c r="D1320"/>
  <c r="C1320"/>
  <c r="D1147"/>
  <c r="C1147"/>
  <c r="D1306"/>
  <c r="C1306"/>
  <c r="D1015"/>
  <c r="C1015"/>
  <c r="D1144"/>
  <c r="C1144"/>
  <c r="D1223"/>
  <c r="C1223"/>
  <c r="D1250"/>
  <c r="C1250"/>
  <c r="D1166"/>
  <c r="C1166"/>
  <c r="D1136"/>
  <c r="C1136"/>
  <c r="D1041"/>
  <c r="C1041"/>
  <c r="D1159"/>
  <c r="C1159"/>
  <c r="D1287"/>
  <c r="C1287"/>
  <c r="D1257"/>
  <c r="C1257"/>
  <c r="D1274"/>
  <c r="C1274"/>
  <c r="D1437"/>
  <c r="C1437"/>
  <c r="D1436"/>
  <c r="C1436"/>
  <c r="D1210"/>
  <c r="C1210"/>
  <c r="D1213"/>
  <c r="C1213"/>
  <c r="D1293"/>
  <c r="C1293"/>
  <c r="D1435"/>
  <c r="C1435"/>
  <c r="D1028"/>
  <c r="C1028"/>
  <c r="D1309"/>
  <c r="C1309"/>
  <c r="D1434"/>
  <c r="C1434"/>
  <c r="D1190"/>
  <c r="C1190"/>
  <c r="D1296"/>
  <c r="C1296"/>
  <c r="D1013"/>
  <c r="C1013"/>
  <c r="D1253"/>
  <c r="C1253"/>
  <c r="D1198"/>
  <c r="C1198"/>
  <c r="D1433"/>
  <c r="C1433"/>
  <c r="D1023"/>
  <c r="C1023"/>
  <c r="D1071"/>
  <c r="C1071"/>
  <c r="D1164"/>
  <c r="C1164"/>
  <c r="D1132"/>
  <c r="C1132"/>
  <c r="D1432"/>
  <c r="C1432"/>
  <c r="D1101"/>
  <c r="C1101"/>
  <c r="D1331"/>
  <c r="C1331"/>
  <c r="D1139"/>
  <c r="C1139"/>
  <c r="D1118"/>
  <c r="C1118"/>
  <c r="D1431"/>
  <c r="C1431"/>
  <c r="D1232"/>
  <c r="C1232"/>
  <c r="D1099"/>
  <c r="C1099"/>
  <c r="D1315"/>
  <c r="C1315"/>
  <c r="D1039"/>
  <c r="C1039"/>
  <c r="D1316"/>
  <c r="C1316"/>
  <c r="D1430"/>
  <c r="C1430"/>
  <c r="D1290"/>
  <c r="C1290"/>
  <c r="D1268"/>
  <c r="C1268"/>
  <c r="D1091"/>
  <c r="C1091"/>
  <c r="D1429"/>
  <c r="C1429"/>
  <c r="D1277"/>
  <c r="C1277"/>
  <c r="D1057"/>
  <c r="C1057"/>
  <c r="D1428"/>
  <c r="C1428"/>
  <c r="D1427"/>
  <c r="C1427"/>
  <c r="D1205"/>
  <c r="C1205"/>
  <c r="D1075"/>
  <c r="C1075"/>
  <c r="D1042"/>
  <c r="C1042"/>
  <c r="D1189"/>
  <c r="C1189"/>
  <c r="D1025"/>
  <c r="C1025"/>
  <c r="D1227"/>
  <c r="C1227"/>
  <c r="D1426"/>
  <c r="C1426"/>
  <c r="D1286"/>
  <c r="C1286"/>
  <c r="D1329"/>
  <c r="C1329"/>
  <c r="D1066"/>
  <c r="C1066"/>
  <c r="D1038"/>
  <c r="C1038"/>
  <c r="D1134"/>
  <c r="C1134"/>
  <c r="D1311"/>
  <c r="C1311"/>
  <c r="D1131"/>
  <c r="C1131"/>
  <c r="D1300"/>
  <c r="C1300"/>
  <c r="D1425"/>
  <c r="C1425"/>
  <c r="D1313"/>
  <c r="C1313"/>
  <c r="D1424"/>
  <c r="C1424"/>
  <c r="D1423"/>
  <c r="C1423"/>
  <c r="D1422"/>
  <c r="C1422"/>
  <c r="D1158"/>
  <c r="C1158"/>
  <c r="D1127"/>
  <c r="C1127"/>
  <c r="D1421"/>
  <c r="C1421"/>
  <c r="D1120"/>
  <c r="C1120"/>
  <c r="D1289"/>
  <c r="C1289"/>
  <c r="D1108"/>
  <c r="C1108"/>
  <c r="D1292"/>
  <c r="C1292"/>
  <c r="D1294"/>
  <c r="C1294"/>
  <c r="D1299"/>
  <c r="C1299"/>
  <c r="D1109"/>
  <c r="C1109"/>
  <c r="D1065"/>
  <c r="C1065"/>
  <c r="D1420"/>
  <c r="C1420"/>
  <c r="D1419"/>
  <c r="C1419"/>
  <c r="D1220"/>
  <c r="C1220"/>
  <c r="D1418"/>
  <c r="C1418"/>
  <c r="D1194"/>
  <c r="C1194"/>
  <c r="D1163"/>
  <c r="C1163"/>
  <c r="D1195"/>
  <c r="C1195"/>
  <c r="D1036"/>
  <c r="C1036"/>
  <c r="D1126"/>
  <c r="C1126"/>
  <c r="D1417"/>
  <c r="C1417"/>
  <c r="D1117"/>
  <c r="C1117"/>
  <c r="D1416"/>
  <c r="C1416"/>
  <c r="D1167"/>
  <c r="C1167"/>
  <c r="D1024"/>
  <c r="C1024"/>
  <c r="D1415"/>
  <c r="C1415"/>
  <c r="D1414"/>
  <c r="C1414"/>
  <c r="D1295"/>
  <c r="C1295"/>
  <c r="D1143"/>
  <c r="C1143"/>
  <c r="D1116"/>
  <c r="C1116"/>
  <c r="D1055"/>
  <c r="C1055"/>
  <c r="D1216"/>
  <c r="C1216"/>
  <c r="D1265"/>
  <c r="C1265"/>
  <c r="D1218"/>
  <c r="C1218"/>
  <c r="D1413"/>
  <c r="C1413"/>
  <c r="D1226"/>
  <c r="C1226"/>
  <c r="D1184"/>
  <c r="C1184"/>
  <c r="D1243"/>
  <c r="C1243"/>
  <c r="D1145"/>
  <c r="C1145"/>
  <c r="D1412"/>
  <c r="C1412"/>
  <c r="D1224"/>
  <c r="C1224"/>
  <c r="D1100"/>
  <c r="C1100"/>
  <c r="D1411"/>
  <c r="C1411"/>
  <c r="D1168"/>
  <c r="C1168"/>
  <c r="D1410"/>
  <c r="C1410"/>
  <c r="D1186"/>
  <c r="C1186"/>
  <c r="D1285"/>
  <c r="C1285"/>
  <c r="D1409"/>
  <c r="C1409"/>
  <c r="D1261"/>
  <c r="C1261"/>
  <c r="D1219"/>
  <c r="C1219"/>
  <c r="D1017"/>
  <c r="C1017"/>
  <c r="D1021"/>
  <c r="C1021"/>
  <c r="D1408"/>
  <c r="C1408"/>
  <c r="D1176"/>
  <c r="C1176"/>
  <c r="D1225"/>
  <c r="C1225"/>
  <c r="D1407"/>
  <c r="C1407"/>
  <c r="D1080"/>
  <c r="C1080"/>
  <c r="D1153"/>
  <c r="C1153"/>
  <c r="D1252"/>
  <c r="C1252"/>
  <c r="D1052"/>
  <c r="C1052"/>
  <c r="D1035"/>
  <c r="C1035"/>
  <c r="D1406"/>
  <c r="C1406"/>
  <c r="D1137"/>
  <c r="C1137"/>
  <c r="D1282"/>
  <c r="C1282"/>
  <c r="D1405"/>
  <c r="C1405"/>
  <c r="D1188"/>
  <c r="C1188"/>
  <c r="D1135"/>
  <c r="C1135"/>
  <c r="D1045"/>
  <c r="C1045"/>
  <c r="D1196"/>
  <c r="C1196"/>
  <c r="D1097"/>
  <c r="C1097"/>
  <c r="D1312"/>
  <c r="C1312"/>
  <c r="D1271"/>
  <c r="C1271"/>
  <c r="D1404"/>
  <c r="C1404"/>
  <c r="D1008"/>
  <c r="C1008"/>
  <c r="D1222"/>
  <c r="C1222"/>
  <c r="D1187"/>
  <c r="C1187"/>
  <c r="D1122"/>
  <c r="C1122"/>
  <c r="D1403"/>
  <c r="C1403"/>
  <c r="D1203"/>
  <c r="C1203"/>
  <c r="D1129"/>
  <c r="C1129"/>
  <c r="D1181"/>
  <c r="C1181"/>
  <c r="D1269"/>
  <c r="C1269"/>
  <c r="D1082"/>
  <c r="C1082"/>
  <c r="D1304"/>
  <c r="C1304"/>
  <c r="D1009"/>
  <c r="C1009"/>
  <c r="D1169"/>
  <c r="C1169"/>
  <c r="D1016"/>
  <c r="C1016"/>
  <c r="D1402"/>
  <c r="C1402"/>
  <c r="D1401"/>
  <c r="C1401"/>
  <c r="D1031"/>
  <c r="C1031"/>
  <c r="D1400"/>
  <c r="C1400"/>
  <c r="D1089"/>
  <c r="C1089"/>
  <c r="D1191"/>
  <c r="C1191"/>
  <c r="D1399"/>
  <c r="C1399"/>
  <c r="D1200"/>
  <c r="C1200"/>
  <c r="D1088"/>
  <c r="C1088"/>
  <c r="D1180"/>
  <c r="C1180"/>
  <c r="D1229"/>
  <c r="C1229"/>
  <c r="D1111"/>
  <c r="C1111"/>
  <c r="D1125"/>
  <c r="C1125"/>
  <c r="D1114"/>
  <c r="C1114"/>
  <c r="D1056"/>
  <c r="C1056"/>
  <c r="D1104"/>
  <c r="C1104"/>
  <c r="D1258"/>
  <c r="C1258"/>
  <c r="D1332"/>
  <c r="C1332"/>
  <c r="D1398"/>
  <c r="C1398"/>
  <c r="D1162"/>
  <c r="C1162"/>
  <c r="D1397"/>
  <c r="C1397"/>
  <c r="D1212"/>
  <c r="C1212"/>
  <c r="D1026"/>
  <c r="C1026"/>
  <c r="D1396"/>
  <c r="C1396"/>
  <c r="D1047"/>
  <c r="C1047"/>
  <c r="D1022"/>
  <c r="C1022"/>
  <c r="D1395"/>
  <c r="C1395"/>
  <c r="D1236"/>
  <c r="C1236"/>
  <c r="D1394"/>
  <c r="C1394"/>
  <c r="D1393"/>
  <c r="C1393"/>
  <c r="D1029"/>
  <c r="C1029"/>
  <c r="D1281"/>
  <c r="C1281"/>
  <c r="D1392"/>
  <c r="C1392"/>
  <c r="D1279"/>
  <c r="C1279"/>
  <c r="D1133"/>
  <c r="C1133"/>
  <c r="D1185"/>
  <c r="C1185"/>
  <c r="D1085"/>
  <c r="C1085"/>
  <c r="D1244"/>
  <c r="C1244"/>
  <c r="D1303"/>
  <c r="C1303"/>
  <c r="D1138"/>
  <c r="C1138"/>
  <c r="D1391"/>
  <c r="C1391"/>
  <c r="D1390"/>
  <c r="C1390"/>
  <c r="D1123"/>
  <c r="C1123"/>
  <c r="D1150"/>
  <c r="C1150"/>
  <c r="D1231"/>
  <c r="C1231"/>
  <c r="D1389"/>
  <c r="C1389"/>
  <c r="D1064"/>
  <c r="C1064"/>
  <c r="D1388"/>
  <c r="C1388"/>
  <c r="D1302"/>
  <c r="C1302"/>
  <c r="D1006"/>
  <c r="C1006"/>
  <c r="D1307"/>
  <c r="C1307"/>
  <c r="D1387"/>
  <c r="C1387"/>
  <c r="D1386"/>
  <c r="C1386"/>
  <c r="D1062"/>
  <c r="C1062"/>
  <c r="D1103"/>
  <c r="C1103"/>
  <c r="D1149"/>
  <c r="C1149"/>
  <c r="D1310"/>
  <c r="C1310"/>
  <c r="D1276"/>
  <c r="C1276"/>
  <c r="D1081"/>
  <c r="C1081"/>
  <c r="D1385"/>
  <c r="C1385"/>
  <c r="D1384"/>
  <c r="C1384"/>
  <c r="D1323"/>
  <c r="C1323"/>
  <c r="D1383"/>
  <c r="C1383"/>
  <c r="D1291"/>
  <c r="C1291"/>
  <c r="D1098"/>
  <c r="C1098"/>
  <c r="D1087"/>
  <c r="C1087"/>
  <c r="D1119"/>
  <c r="C1119"/>
  <c r="D1165"/>
  <c r="C1165"/>
  <c r="D1382"/>
  <c r="C1382"/>
  <c r="D1018"/>
  <c r="C1018"/>
  <c r="D1010"/>
  <c r="C1010"/>
  <c r="D1381"/>
  <c r="C1381"/>
  <c r="D1157"/>
  <c r="C1157"/>
  <c r="D1380"/>
  <c r="C1380"/>
  <c r="D1154"/>
  <c r="C1154"/>
  <c r="D1379"/>
  <c r="C1379"/>
  <c r="D1378"/>
  <c r="C1378"/>
  <c r="D1278"/>
  <c r="C1278"/>
  <c r="D1053"/>
  <c r="C1053"/>
  <c r="D1283"/>
  <c r="C1283"/>
  <c r="D1377"/>
  <c r="C1377"/>
  <c r="D1050"/>
  <c r="C1050"/>
  <c r="D1376"/>
  <c r="C1376"/>
  <c r="D1234"/>
  <c r="C1234"/>
  <c r="D1049"/>
  <c r="C1049"/>
  <c r="D1324"/>
  <c r="C1324"/>
  <c r="D1206"/>
  <c r="C1206"/>
  <c r="D1375"/>
  <c r="C1375"/>
  <c r="D1110"/>
  <c r="C1110"/>
  <c r="D1214"/>
  <c r="C1214"/>
  <c r="D1374"/>
  <c r="C1374"/>
  <c r="D1248"/>
  <c r="C1248"/>
  <c r="D1148"/>
  <c r="C1148"/>
  <c r="D1373"/>
  <c r="C1373"/>
  <c r="D1372"/>
  <c r="C1372"/>
  <c r="D1059"/>
  <c r="C1059"/>
  <c r="D1058"/>
  <c r="C1058"/>
  <c r="D1124"/>
  <c r="C1124"/>
  <c r="D1239"/>
  <c r="C1239"/>
  <c r="D1262"/>
  <c r="C1262"/>
  <c r="D1371"/>
  <c r="C1371"/>
  <c r="D1208"/>
  <c r="C1208"/>
  <c r="D1370"/>
  <c r="C1370"/>
  <c r="D1037"/>
  <c r="C1037"/>
  <c r="D1161"/>
  <c r="C1161"/>
  <c r="D1237"/>
  <c r="C1237"/>
  <c r="D1141"/>
  <c r="C1141"/>
  <c r="D1369"/>
  <c r="C1369"/>
  <c r="D1267"/>
  <c r="C1267"/>
  <c r="D1228"/>
  <c r="C1228"/>
  <c r="D1368"/>
  <c r="C1368"/>
  <c r="D1367"/>
  <c r="C1367"/>
  <c r="D1032"/>
  <c r="C1032"/>
  <c r="D1366"/>
  <c r="C1366"/>
  <c r="D1012"/>
  <c r="C1012"/>
  <c r="D1155"/>
  <c r="C1155"/>
  <c r="D1175"/>
  <c r="C1175"/>
  <c r="D1019"/>
  <c r="C1019"/>
  <c r="D1365"/>
  <c r="C1365"/>
  <c r="D1151"/>
  <c r="C1151"/>
  <c r="D1246"/>
  <c r="C1246"/>
  <c r="D1255"/>
  <c r="C1255"/>
  <c r="D1364"/>
  <c r="C1364"/>
  <c r="D1241"/>
  <c r="C1241"/>
  <c r="D1046"/>
  <c r="C1046"/>
  <c r="D1251"/>
  <c r="C1251"/>
  <c r="D1076"/>
  <c r="C1076"/>
  <c r="D1363"/>
  <c r="C1363"/>
  <c r="D1362"/>
  <c r="C1362"/>
  <c r="D1211"/>
  <c r="C1211"/>
  <c r="D1328"/>
  <c r="C1328"/>
  <c r="D1178"/>
  <c r="C1178"/>
  <c r="D1063"/>
  <c r="C1063"/>
  <c r="D1361"/>
  <c r="C1361"/>
  <c r="D1054"/>
  <c r="C1054"/>
  <c r="D1321"/>
  <c r="C1321"/>
  <c r="D1360"/>
  <c r="C1360"/>
  <c r="D1333"/>
  <c r="C1333"/>
  <c r="D1217"/>
  <c r="C1217"/>
  <c r="D1266"/>
  <c r="C1266"/>
  <c r="D1359"/>
  <c r="C1359"/>
  <c r="D1204"/>
  <c r="C1204"/>
  <c r="D1160"/>
  <c r="C1160"/>
  <c r="D1102"/>
  <c r="C1102"/>
  <c r="D1051"/>
  <c r="C1051"/>
  <c r="D1044"/>
  <c r="C1044"/>
  <c r="D1048"/>
  <c r="C1048"/>
  <c r="D1358"/>
  <c r="C1358"/>
  <c r="D1142"/>
  <c r="C1142"/>
  <c r="D1209"/>
  <c r="C1209"/>
  <c r="D1357"/>
  <c r="C1357"/>
  <c r="D1072"/>
  <c r="C1072"/>
  <c r="D1173"/>
  <c r="C1173"/>
  <c r="D1030"/>
  <c r="C1030"/>
  <c r="D1073"/>
  <c r="C1073"/>
  <c r="D1356"/>
  <c r="C1356"/>
  <c r="D1273"/>
  <c r="C1273"/>
  <c r="D1355"/>
  <c r="C1355"/>
  <c r="D1354"/>
  <c r="C1354"/>
  <c r="D1092"/>
  <c r="C1092"/>
  <c r="D1353"/>
  <c r="C1353"/>
  <c r="D1352"/>
  <c r="C1352"/>
  <c r="D1235"/>
  <c r="C1235"/>
  <c r="D1174"/>
  <c r="C1174"/>
  <c r="D1193"/>
  <c r="C1193"/>
  <c r="D1170"/>
  <c r="C1170"/>
  <c r="D1202"/>
  <c r="C1202"/>
  <c r="D1308"/>
  <c r="C1308"/>
  <c r="D1298"/>
  <c r="C1298"/>
  <c r="D1172"/>
  <c r="C1172"/>
  <c r="D1040"/>
  <c r="C1040"/>
  <c r="D1334"/>
  <c r="C1334"/>
  <c r="D1067"/>
  <c r="C1067"/>
  <c r="D1201"/>
  <c r="C1201"/>
  <c r="D1069"/>
  <c r="C1069"/>
  <c r="D1182"/>
  <c r="C1182"/>
  <c r="D1351"/>
  <c r="C1351"/>
  <c r="D1350"/>
  <c r="C1350"/>
  <c r="D1314"/>
  <c r="C1314"/>
  <c r="D1326"/>
  <c r="C1326"/>
  <c r="D1183"/>
  <c r="C1183"/>
  <c r="D1349"/>
  <c r="C1349"/>
  <c r="D1256"/>
  <c r="C1256"/>
  <c r="D1348"/>
  <c r="C1348"/>
  <c r="D1199"/>
  <c r="C1199"/>
  <c r="D1272"/>
  <c r="C1272"/>
  <c r="D1240"/>
  <c r="C1240"/>
  <c r="D1347"/>
  <c r="C1347"/>
  <c r="D1317"/>
  <c r="C1317"/>
  <c r="D1270"/>
  <c r="C1270"/>
  <c r="D1346"/>
  <c r="C1346"/>
  <c r="D1345"/>
  <c r="C1345"/>
  <c r="D1192"/>
  <c r="C1192"/>
  <c r="D1077"/>
  <c r="C1077"/>
  <c r="D1215"/>
  <c r="C1215"/>
  <c r="D1171"/>
  <c r="C1171"/>
  <c r="D1344"/>
  <c r="C1344"/>
  <c r="D1343"/>
  <c r="C1343"/>
  <c r="D1027"/>
  <c r="C1027"/>
  <c r="D1330"/>
  <c r="C1330"/>
  <c r="D1342"/>
  <c r="C1342"/>
  <c r="D1107"/>
  <c r="C1107"/>
  <c r="D1297"/>
  <c r="C1297"/>
  <c r="D1011"/>
  <c r="C1011"/>
  <c r="D1325"/>
  <c r="C1325"/>
  <c r="D1113"/>
  <c r="C1113"/>
  <c r="D1043"/>
  <c r="C1043"/>
  <c r="D1341"/>
  <c r="C1341"/>
  <c r="D1221"/>
  <c r="C1221"/>
  <c r="D1115"/>
  <c r="C1115"/>
  <c r="D1233"/>
  <c r="C1233"/>
  <c r="D1264"/>
  <c r="C1264"/>
  <c r="D1340"/>
  <c r="C1340"/>
  <c r="D1339"/>
  <c r="C1339"/>
  <c r="D1130"/>
  <c r="C1130"/>
  <c r="D1318"/>
  <c r="C1318"/>
  <c r="D1007"/>
  <c r="C1007"/>
  <c r="D1338"/>
  <c r="C1338"/>
  <c r="D1337"/>
  <c r="C1337"/>
  <c r="D1336"/>
  <c r="C1336"/>
  <c r="D1128"/>
  <c r="C1128"/>
  <c r="D1179"/>
  <c r="C1179"/>
  <c r="D1060"/>
  <c r="C1060"/>
  <c r="D1079"/>
  <c r="C1079"/>
  <c r="D1335"/>
  <c r="C1335"/>
  <c r="D826"/>
  <c r="C826"/>
  <c r="D648"/>
  <c r="C648"/>
  <c r="D720"/>
  <c r="C720"/>
  <c r="D682"/>
  <c r="C682"/>
  <c r="D759"/>
  <c r="C759"/>
  <c r="D449"/>
  <c r="C449"/>
  <c r="D541"/>
  <c r="C541"/>
  <c r="D758"/>
  <c r="C758"/>
  <c r="D597"/>
  <c r="C597"/>
  <c r="D1005"/>
  <c r="C1005"/>
  <c r="D596"/>
  <c r="C596"/>
  <c r="D1004"/>
  <c r="C1004"/>
  <c r="D789"/>
  <c r="C789"/>
  <c r="D496"/>
  <c r="C496"/>
  <c r="D481"/>
  <c r="C481"/>
  <c r="D1003"/>
  <c r="C1003"/>
  <c r="D695"/>
  <c r="C695"/>
  <c r="D608"/>
  <c r="C608"/>
  <c r="D510"/>
  <c r="C510"/>
  <c r="D542"/>
  <c r="C542"/>
  <c r="D500"/>
  <c r="C500"/>
  <c r="D750"/>
  <c r="C750"/>
  <c r="D705"/>
  <c r="C705"/>
  <c r="D698"/>
  <c r="C698"/>
  <c r="D823"/>
  <c r="C823"/>
  <c r="D551"/>
  <c r="C551"/>
  <c r="D613"/>
  <c r="C613"/>
  <c r="D584"/>
  <c r="C584"/>
  <c r="D452"/>
  <c r="C452"/>
  <c r="D580"/>
  <c r="C580"/>
  <c r="D774"/>
  <c r="C774"/>
  <c r="D506"/>
  <c r="C506"/>
  <c r="D746"/>
  <c r="C746"/>
  <c r="D760"/>
  <c r="C760"/>
  <c r="D590"/>
  <c r="C590"/>
  <c r="D615"/>
  <c r="C615"/>
  <c r="D509"/>
  <c r="C509"/>
  <c r="D644"/>
  <c r="C644"/>
  <c r="D437"/>
  <c r="C437"/>
  <c r="D1002"/>
  <c r="C1002"/>
  <c r="D703"/>
  <c r="C703"/>
  <c r="D460"/>
  <c r="C460"/>
  <c r="D800"/>
  <c r="C800"/>
  <c r="D1001"/>
  <c r="C1001"/>
  <c r="D827"/>
  <c r="C827"/>
  <c r="D1000"/>
  <c r="C1000"/>
  <c r="D606"/>
  <c r="C606"/>
  <c r="D652"/>
  <c r="C652"/>
  <c r="D576"/>
  <c r="C576"/>
  <c r="D478"/>
  <c r="C478"/>
  <c r="D742"/>
  <c r="C742"/>
  <c r="D724"/>
  <c r="C724"/>
  <c r="D394"/>
  <c r="C394"/>
  <c r="D999"/>
  <c r="C999"/>
  <c r="D783"/>
  <c r="C783"/>
  <c r="D567"/>
  <c r="C567"/>
  <c r="D998"/>
  <c r="C998"/>
  <c r="D763"/>
  <c r="C763"/>
  <c r="D770"/>
  <c r="C770"/>
  <c r="D601"/>
  <c r="C601"/>
  <c r="D997"/>
  <c r="C997"/>
  <c r="D996"/>
  <c r="C996"/>
  <c r="D432"/>
  <c r="C432"/>
  <c r="D527"/>
  <c r="C527"/>
  <c r="D733"/>
  <c r="C733"/>
  <c r="D445"/>
  <c r="C445"/>
  <c r="D581"/>
  <c r="C581"/>
  <c r="D825"/>
  <c r="C825"/>
  <c r="D616"/>
  <c r="C616"/>
  <c r="D480"/>
  <c r="C480"/>
  <c r="D995"/>
  <c r="C995"/>
  <c r="D994"/>
  <c r="C994"/>
  <c r="D766"/>
  <c r="C766"/>
  <c r="D807"/>
  <c r="C807"/>
  <c r="D651"/>
  <c r="C651"/>
  <c r="D729"/>
  <c r="C729"/>
  <c r="D528"/>
  <c r="C528"/>
  <c r="D475"/>
  <c r="C475"/>
  <c r="D447"/>
  <c r="C447"/>
  <c r="D451"/>
  <c r="C451"/>
  <c r="D739"/>
  <c r="C739"/>
  <c r="D993"/>
  <c r="C993"/>
  <c r="D992"/>
  <c r="C992"/>
  <c r="D727"/>
  <c r="C727"/>
  <c r="D791"/>
  <c r="C791"/>
  <c r="D439"/>
  <c r="C439"/>
  <c r="D991"/>
  <c r="C991"/>
  <c r="D427"/>
  <c r="C427"/>
  <c r="D487"/>
  <c r="C487"/>
  <c r="D990"/>
  <c r="C990"/>
  <c r="D769"/>
  <c r="C769"/>
  <c r="D493"/>
  <c r="C493"/>
  <c r="D523"/>
  <c r="C523"/>
  <c r="D989"/>
  <c r="C989"/>
  <c r="D563"/>
  <c r="C563"/>
  <c r="D988"/>
  <c r="C988"/>
  <c r="D987"/>
  <c r="C987"/>
  <c r="D986"/>
  <c r="C986"/>
  <c r="D985"/>
  <c r="C985"/>
  <c r="D591"/>
  <c r="C591"/>
  <c r="D984"/>
  <c r="C984"/>
  <c r="D983"/>
  <c r="C983"/>
  <c r="D982"/>
  <c r="C982"/>
  <c r="D700"/>
  <c r="C700"/>
  <c r="D981"/>
  <c r="C981"/>
  <c r="D472"/>
  <c r="C472"/>
  <c r="D589"/>
  <c r="C589"/>
  <c r="D980"/>
  <c r="C980"/>
  <c r="D702"/>
  <c r="C702"/>
  <c r="D736"/>
  <c r="C736"/>
  <c r="D734"/>
  <c r="C734"/>
  <c r="D391"/>
  <c r="C391"/>
  <c r="D979"/>
  <c r="C979"/>
  <c r="D603"/>
  <c r="C603"/>
  <c r="D610"/>
  <c r="C610"/>
  <c r="D643"/>
  <c r="C643"/>
  <c r="D491"/>
  <c r="C491"/>
  <c r="D662"/>
  <c r="C662"/>
  <c r="D978"/>
  <c r="C978"/>
  <c r="D433"/>
  <c r="C433"/>
  <c r="D444"/>
  <c r="C444"/>
  <c r="D977"/>
  <c r="C977"/>
  <c r="D431"/>
  <c r="C431"/>
  <c r="D659"/>
  <c r="C659"/>
  <c r="D519"/>
  <c r="C519"/>
  <c r="D656"/>
  <c r="C656"/>
  <c r="D976"/>
  <c r="C976"/>
  <c r="D839"/>
  <c r="C839"/>
  <c r="D828"/>
  <c r="C828"/>
  <c r="D667"/>
  <c r="C667"/>
  <c r="D737"/>
  <c r="C737"/>
  <c r="D425"/>
  <c r="C425"/>
  <c r="D602"/>
  <c r="C602"/>
  <c r="D830"/>
  <c r="C830"/>
  <c r="D732"/>
  <c r="C732"/>
  <c r="D806"/>
  <c r="C806"/>
  <c r="D975"/>
  <c r="C975"/>
  <c r="D423"/>
  <c r="C423"/>
  <c r="D974"/>
  <c r="C974"/>
  <c r="D973"/>
  <c r="C973"/>
  <c r="D972"/>
  <c r="C972"/>
  <c r="D466"/>
  <c r="C466"/>
  <c r="D464"/>
  <c r="C464"/>
  <c r="D494"/>
  <c r="C494"/>
  <c r="D815"/>
  <c r="C815"/>
  <c r="D971"/>
  <c r="C971"/>
  <c r="D970"/>
  <c r="C970"/>
  <c r="D969"/>
  <c r="C969"/>
  <c r="D968"/>
  <c r="C968"/>
  <c r="D836"/>
  <c r="C836"/>
  <c r="D709"/>
  <c r="C709"/>
  <c r="D392"/>
  <c r="C392"/>
  <c r="D771"/>
  <c r="C771"/>
  <c r="D642"/>
  <c r="C642"/>
  <c r="D668"/>
  <c r="C668"/>
  <c r="D489"/>
  <c r="C489"/>
  <c r="D967"/>
  <c r="C967"/>
  <c r="D635"/>
  <c r="C635"/>
  <c r="D966"/>
  <c r="C966"/>
  <c r="D499"/>
  <c r="C499"/>
  <c r="D811"/>
  <c r="C811"/>
  <c r="D756"/>
  <c r="C756"/>
  <c r="D965"/>
  <c r="C965"/>
  <c r="D686"/>
  <c r="C686"/>
  <c r="D677"/>
  <c r="C677"/>
  <c r="D653"/>
  <c r="C653"/>
  <c r="D730"/>
  <c r="C730"/>
  <c r="D810"/>
  <c r="C810"/>
  <c r="D694"/>
  <c r="C694"/>
  <c r="D628"/>
  <c r="C628"/>
  <c r="D416"/>
  <c r="C416"/>
  <c r="D816"/>
  <c r="C816"/>
  <c r="D440"/>
  <c r="C440"/>
  <c r="D479"/>
  <c r="C479"/>
  <c r="D504"/>
  <c r="C504"/>
  <c r="D530"/>
  <c r="C530"/>
  <c r="D474"/>
  <c r="C474"/>
  <c r="D538"/>
  <c r="C538"/>
  <c r="D693"/>
  <c r="C693"/>
  <c r="D964"/>
  <c r="C964"/>
  <c r="D410"/>
  <c r="C410"/>
  <c r="D390"/>
  <c r="C390"/>
  <c r="D442"/>
  <c r="C442"/>
  <c r="D524"/>
  <c r="C524"/>
  <c r="D637"/>
  <c r="C637"/>
  <c r="D963"/>
  <c r="C963"/>
  <c r="D754"/>
  <c r="C754"/>
  <c r="D624"/>
  <c r="C624"/>
  <c r="D674"/>
  <c r="C674"/>
  <c r="D962"/>
  <c r="C962"/>
  <c r="D961"/>
  <c r="C961"/>
  <c r="D960"/>
  <c r="C960"/>
  <c r="D557"/>
  <c r="C557"/>
  <c r="D681"/>
  <c r="C681"/>
  <c r="D959"/>
  <c r="C959"/>
  <c r="D749"/>
  <c r="C749"/>
  <c r="D600"/>
  <c r="C600"/>
  <c r="D684"/>
  <c r="C684"/>
  <c r="D517"/>
  <c r="C517"/>
  <c r="D958"/>
  <c r="C958"/>
  <c r="D957"/>
  <c r="C957"/>
  <c r="D399"/>
  <c r="C399"/>
  <c r="D956"/>
  <c r="C956"/>
  <c r="D821"/>
  <c r="C821"/>
  <c r="D699"/>
  <c r="C699"/>
  <c r="D655"/>
  <c r="C655"/>
  <c r="D620"/>
  <c r="C620"/>
  <c r="D658"/>
  <c r="C658"/>
  <c r="D955"/>
  <c r="C955"/>
  <c r="D612"/>
  <c r="C612"/>
  <c r="D515"/>
  <c r="C515"/>
  <c r="D780"/>
  <c r="C780"/>
  <c r="D954"/>
  <c r="C954"/>
  <c r="D546"/>
  <c r="C546"/>
  <c r="D822"/>
  <c r="C822"/>
  <c r="D953"/>
  <c r="C953"/>
  <c r="D605"/>
  <c r="C605"/>
  <c r="D952"/>
  <c r="C952"/>
  <c r="D556"/>
  <c r="C556"/>
  <c r="D562"/>
  <c r="C562"/>
  <c r="D951"/>
  <c r="C951"/>
  <c r="D950"/>
  <c r="C950"/>
  <c r="D949"/>
  <c r="C949"/>
  <c r="D948"/>
  <c r="C948"/>
  <c r="D583"/>
  <c r="C583"/>
  <c r="D813"/>
  <c r="C813"/>
  <c r="D795"/>
  <c r="C795"/>
  <c r="D947"/>
  <c r="C947"/>
  <c r="D665"/>
  <c r="C665"/>
  <c r="D712"/>
  <c r="C712"/>
  <c r="D559"/>
  <c r="C559"/>
  <c r="D599"/>
  <c r="C599"/>
  <c r="D946"/>
  <c r="C946"/>
  <c r="D488"/>
  <c r="C488"/>
  <c r="D420"/>
  <c r="C420"/>
  <c r="D945"/>
  <c r="C945"/>
  <c r="D944"/>
  <c r="C944"/>
  <c r="D457"/>
  <c r="C457"/>
  <c r="D943"/>
  <c r="C943"/>
  <c r="D467"/>
  <c r="C467"/>
  <c r="D448"/>
  <c r="C448"/>
  <c r="D761"/>
  <c r="C761"/>
  <c r="D550"/>
  <c r="C550"/>
  <c r="D942"/>
  <c r="C942"/>
  <c r="D398"/>
  <c r="C398"/>
  <c r="D577"/>
  <c r="C577"/>
  <c r="D552"/>
  <c r="C552"/>
  <c r="D473"/>
  <c r="C473"/>
  <c r="D941"/>
  <c r="C941"/>
  <c r="D435"/>
  <c r="C435"/>
  <c r="D940"/>
  <c r="C940"/>
  <c r="D790"/>
  <c r="C790"/>
  <c r="D441"/>
  <c r="C441"/>
  <c r="D507"/>
  <c r="C507"/>
  <c r="D486"/>
  <c r="C486"/>
  <c r="D829"/>
  <c r="C829"/>
  <c r="D568"/>
  <c r="C568"/>
  <c r="D735"/>
  <c r="C735"/>
  <c r="D636"/>
  <c r="C636"/>
  <c r="D745"/>
  <c r="C745"/>
  <c r="D802"/>
  <c r="C802"/>
  <c r="D443"/>
  <c r="C443"/>
  <c r="D680"/>
  <c r="C680"/>
  <c r="D939"/>
  <c r="C939"/>
  <c r="D598"/>
  <c r="C598"/>
  <c r="D938"/>
  <c r="C938"/>
  <c r="D937"/>
  <c r="C937"/>
  <c r="D721"/>
  <c r="C721"/>
  <c r="D438"/>
  <c r="C438"/>
  <c r="D936"/>
  <c r="C936"/>
  <c r="D798"/>
  <c r="C798"/>
  <c r="D835"/>
  <c r="C835"/>
  <c r="D418"/>
  <c r="C418"/>
  <c r="D935"/>
  <c r="C935"/>
  <c r="D934"/>
  <c r="C934"/>
  <c r="D640"/>
  <c r="C640"/>
  <c r="D594"/>
  <c r="C594"/>
  <c r="D933"/>
  <c r="C933"/>
  <c r="D932"/>
  <c r="C932"/>
  <c r="D462"/>
  <c r="C462"/>
  <c r="D931"/>
  <c r="C931"/>
  <c r="D518"/>
  <c r="C518"/>
  <c r="D555"/>
  <c r="C555"/>
  <c r="D485"/>
  <c r="C485"/>
  <c r="D566"/>
  <c r="C566"/>
  <c r="D424"/>
  <c r="C424"/>
  <c r="D639"/>
  <c r="C639"/>
  <c r="D539"/>
  <c r="C539"/>
  <c r="D764"/>
  <c r="C764"/>
  <c r="D809"/>
  <c r="C809"/>
  <c r="D630"/>
  <c r="C630"/>
  <c r="D393"/>
  <c r="C393"/>
  <c r="D930"/>
  <c r="C930"/>
  <c r="D929"/>
  <c r="C929"/>
  <c r="D928"/>
  <c r="C928"/>
  <c r="D927"/>
  <c r="C927"/>
  <c r="D414"/>
  <c r="C414"/>
  <c r="D926"/>
  <c r="C926"/>
  <c r="D818"/>
  <c r="C818"/>
  <c r="D666"/>
  <c r="C666"/>
  <c r="D492"/>
  <c r="C492"/>
  <c r="D396"/>
  <c r="C396"/>
  <c r="D713"/>
  <c r="C713"/>
  <c r="D925"/>
  <c r="C925"/>
  <c r="D649"/>
  <c r="C649"/>
  <c r="D924"/>
  <c r="C924"/>
  <c r="D671"/>
  <c r="C671"/>
  <c r="D796"/>
  <c r="C796"/>
  <c r="D395"/>
  <c r="C395"/>
  <c r="D788"/>
  <c r="C788"/>
  <c r="D804"/>
  <c r="C804"/>
  <c r="D718"/>
  <c r="C718"/>
  <c r="D923"/>
  <c r="C923"/>
  <c r="D719"/>
  <c r="C719"/>
  <c r="D740"/>
  <c r="C740"/>
  <c r="D513"/>
  <c r="C513"/>
  <c r="D778"/>
  <c r="C778"/>
  <c r="D458"/>
  <c r="C458"/>
  <c r="D413"/>
  <c r="C413"/>
  <c r="D397"/>
  <c r="C397"/>
  <c r="D922"/>
  <c r="C922"/>
  <c r="D755"/>
  <c r="C755"/>
  <c r="D426"/>
  <c r="C426"/>
  <c r="D516"/>
  <c r="C516"/>
  <c r="D921"/>
  <c r="C921"/>
  <c r="D773"/>
  <c r="C773"/>
  <c r="D748"/>
  <c r="C748"/>
  <c r="D741"/>
  <c r="C741"/>
  <c r="D723"/>
  <c r="C723"/>
  <c r="D495"/>
  <c r="C495"/>
  <c r="D920"/>
  <c r="C920"/>
  <c r="D482"/>
  <c r="C482"/>
  <c r="D526"/>
  <c r="C526"/>
  <c r="D627"/>
  <c r="C627"/>
  <c r="D919"/>
  <c r="C919"/>
  <c r="D587"/>
  <c r="C587"/>
  <c r="D623"/>
  <c r="C623"/>
  <c r="D400"/>
  <c r="C400"/>
  <c r="D918"/>
  <c r="C918"/>
  <c r="D714"/>
  <c r="C714"/>
  <c r="D675"/>
  <c r="C675"/>
  <c r="D917"/>
  <c r="C917"/>
  <c r="D411"/>
  <c r="C411"/>
  <c r="D916"/>
  <c r="C916"/>
  <c r="D463"/>
  <c r="C463"/>
  <c r="D915"/>
  <c r="C915"/>
  <c r="D914"/>
  <c r="C914"/>
  <c r="D913"/>
  <c r="C913"/>
  <c r="D459"/>
  <c r="C459"/>
  <c r="D553"/>
  <c r="C553"/>
  <c r="D782"/>
  <c r="C782"/>
  <c r="D547"/>
  <c r="C547"/>
  <c r="D679"/>
  <c r="C679"/>
  <c r="D912"/>
  <c r="C912"/>
  <c r="D911"/>
  <c r="C911"/>
  <c r="D575"/>
  <c r="C575"/>
  <c r="D595"/>
  <c r="C595"/>
  <c r="D554"/>
  <c r="C554"/>
  <c r="D454"/>
  <c r="C454"/>
  <c r="D701"/>
  <c r="C701"/>
  <c r="D574"/>
  <c r="C574"/>
  <c r="D753"/>
  <c r="C753"/>
  <c r="D707"/>
  <c r="C707"/>
  <c r="D650"/>
  <c r="C650"/>
  <c r="D910"/>
  <c r="C910"/>
  <c r="D833"/>
  <c r="C833"/>
  <c r="D765"/>
  <c r="C765"/>
  <c r="D497"/>
  <c r="C497"/>
  <c r="D909"/>
  <c r="C909"/>
  <c r="D690"/>
  <c r="C690"/>
  <c r="D794"/>
  <c r="C794"/>
  <c r="D697"/>
  <c r="C697"/>
  <c r="D908"/>
  <c r="C908"/>
  <c r="D781"/>
  <c r="C781"/>
  <c r="D537"/>
  <c r="C537"/>
  <c r="D907"/>
  <c r="C907"/>
  <c r="D906"/>
  <c r="C906"/>
  <c r="D586"/>
  <c r="C586"/>
  <c r="D905"/>
  <c r="C905"/>
  <c r="D904"/>
  <c r="C904"/>
  <c r="D579"/>
  <c r="C579"/>
  <c r="D776"/>
  <c r="C776"/>
  <c r="D625"/>
  <c r="C625"/>
  <c r="D407"/>
  <c r="C407"/>
  <c r="D903"/>
  <c r="C903"/>
  <c r="D609"/>
  <c r="C609"/>
  <c r="D834"/>
  <c r="C834"/>
  <c r="D430"/>
  <c r="C430"/>
  <c r="D578"/>
  <c r="C578"/>
  <c r="D902"/>
  <c r="C902"/>
  <c r="D685"/>
  <c r="C685"/>
  <c r="D498"/>
  <c r="C498"/>
  <c r="D901"/>
  <c r="C901"/>
  <c r="D531"/>
  <c r="C531"/>
  <c r="D900"/>
  <c r="C900"/>
  <c r="D899"/>
  <c r="C899"/>
  <c r="D470"/>
  <c r="C470"/>
  <c r="D632"/>
  <c r="C632"/>
  <c r="D661"/>
  <c r="C661"/>
  <c r="D898"/>
  <c r="C898"/>
  <c r="D670"/>
  <c r="C670"/>
  <c r="D588"/>
  <c r="C588"/>
  <c r="D688"/>
  <c r="C688"/>
  <c r="D512"/>
  <c r="C512"/>
  <c r="D897"/>
  <c r="C897"/>
  <c r="D896"/>
  <c r="C896"/>
  <c r="D832"/>
  <c r="C832"/>
  <c r="D895"/>
  <c r="C895"/>
  <c r="D434"/>
  <c r="C434"/>
  <c r="D406"/>
  <c r="C406"/>
  <c r="D894"/>
  <c r="C894"/>
  <c r="D405"/>
  <c r="C405"/>
  <c r="D893"/>
  <c r="C893"/>
  <c r="D892"/>
  <c r="C892"/>
  <c r="D465"/>
  <c r="C465"/>
  <c r="D409"/>
  <c r="C409"/>
  <c r="D725"/>
  <c r="C725"/>
  <c r="D533"/>
  <c r="C533"/>
  <c r="D417"/>
  <c r="C417"/>
  <c r="D757"/>
  <c r="C757"/>
  <c r="D450"/>
  <c r="C450"/>
  <c r="D483"/>
  <c r="C483"/>
  <c r="D402"/>
  <c r="C402"/>
  <c r="D415"/>
  <c r="C415"/>
  <c r="D891"/>
  <c r="C891"/>
  <c r="D617"/>
  <c r="C617"/>
  <c r="D726"/>
  <c r="C726"/>
  <c r="D548"/>
  <c r="C548"/>
  <c r="D569"/>
  <c r="C569"/>
  <c r="D572"/>
  <c r="C572"/>
  <c r="D890"/>
  <c r="C890"/>
  <c r="D716"/>
  <c r="C716"/>
  <c r="D805"/>
  <c r="C805"/>
  <c r="D520"/>
  <c r="C520"/>
  <c r="D889"/>
  <c r="C889"/>
  <c r="D812"/>
  <c r="C812"/>
  <c r="D838"/>
  <c r="C838"/>
  <c r="D582"/>
  <c r="C582"/>
  <c r="D888"/>
  <c r="C888"/>
  <c r="D673"/>
  <c r="C673"/>
  <c r="D787"/>
  <c r="C787"/>
  <c r="D887"/>
  <c r="C887"/>
  <c r="D708"/>
  <c r="C708"/>
  <c r="D446"/>
  <c r="C446"/>
  <c r="D565"/>
  <c r="C565"/>
  <c r="D676"/>
  <c r="C676"/>
  <c r="D544"/>
  <c r="C544"/>
  <c r="D436"/>
  <c r="C436"/>
  <c r="D564"/>
  <c r="C564"/>
  <c r="D886"/>
  <c r="C886"/>
  <c r="D421"/>
  <c r="C421"/>
  <c r="D429"/>
  <c r="C429"/>
  <c r="D885"/>
  <c r="C885"/>
  <c r="D540"/>
  <c r="C540"/>
  <c r="D560"/>
  <c r="C560"/>
  <c r="D412"/>
  <c r="C412"/>
  <c r="D731"/>
  <c r="C731"/>
  <c r="D428"/>
  <c r="C428"/>
  <c r="D884"/>
  <c r="C884"/>
  <c r="D408"/>
  <c r="C408"/>
  <c r="D883"/>
  <c r="C883"/>
  <c r="D647"/>
  <c r="C647"/>
  <c r="D882"/>
  <c r="C882"/>
  <c r="D585"/>
  <c r="C585"/>
  <c r="D751"/>
  <c r="C751"/>
  <c r="D522"/>
  <c r="C522"/>
  <c r="D453"/>
  <c r="C453"/>
  <c r="D777"/>
  <c r="C777"/>
  <c r="D881"/>
  <c r="C881"/>
  <c r="D880"/>
  <c r="C880"/>
  <c r="D768"/>
  <c r="C768"/>
  <c r="D561"/>
  <c r="C561"/>
  <c r="D779"/>
  <c r="C779"/>
  <c r="D879"/>
  <c r="C879"/>
  <c r="D422"/>
  <c r="C422"/>
  <c r="D878"/>
  <c r="C878"/>
  <c r="D468"/>
  <c r="C468"/>
  <c r="D573"/>
  <c r="C573"/>
  <c r="D404"/>
  <c r="C404"/>
  <c r="D502"/>
  <c r="C502"/>
  <c r="D570"/>
  <c r="C570"/>
  <c r="D619"/>
  <c r="C619"/>
  <c r="D877"/>
  <c r="C877"/>
  <c r="D876"/>
  <c r="C876"/>
  <c r="D514"/>
  <c r="C514"/>
  <c r="D471"/>
  <c r="C471"/>
  <c r="D785"/>
  <c r="C785"/>
  <c r="D626"/>
  <c r="C626"/>
  <c r="D817"/>
  <c r="C817"/>
  <c r="D875"/>
  <c r="C875"/>
  <c r="D592"/>
  <c r="C592"/>
  <c r="D484"/>
  <c r="C484"/>
  <c r="D874"/>
  <c r="C874"/>
  <c r="D419"/>
  <c r="C419"/>
  <c r="D772"/>
  <c r="C772"/>
  <c r="D873"/>
  <c r="C873"/>
  <c r="D629"/>
  <c r="C629"/>
  <c r="D872"/>
  <c r="C872"/>
  <c r="D871"/>
  <c r="C871"/>
  <c r="D503"/>
  <c r="C503"/>
  <c r="D870"/>
  <c r="C870"/>
  <c r="D403"/>
  <c r="C403"/>
  <c r="D869"/>
  <c r="C869"/>
  <c r="D837"/>
  <c r="C837"/>
  <c r="D868"/>
  <c r="C868"/>
  <c r="D696"/>
  <c r="C696"/>
  <c r="D793"/>
  <c r="C793"/>
  <c r="D607"/>
  <c r="C607"/>
  <c r="D401"/>
  <c r="C401"/>
  <c r="D867"/>
  <c r="C867"/>
  <c r="D866"/>
  <c r="C866"/>
  <c r="D704"/>
  <c r="C704"/>
  <c r="D865"/>
  <c r="C865"/>
  <c r="D621"/>
  <c r="C621"/>
  <c r="D638"/>
  <c r="C638"/>
  <c r="D784"/>
  <c r="C784"/>
  <c r="D786"/>
  <c r="C786"/>
  <c r="D634"/>
  <c r="C634"/>
  <c r="D864"/>
  <c r="C864"/>
  <c r="D558"/>
  <c r="C558"/>
  <c r="D678"/>
  <c r="C678"/>
  <c r="D469"/>
  <c r="C469"/>
  <c r="D863"/>
  <c r="C863"/>
  <c r="D669"/>
  <c r="C669"/>
  <c r="D862"/>
  <c r="C862"/>
  <c r="D775"/>
  <c r="C775"/>
  <c r="D692"/>
  <c r="C692"/>
  <c r="D641"/>
  <c r="C641"/>
  <c r="D799"/>
  <c r="C799"/>
  <c r="D508"/>
  <c r="C508"/>
  <c r="D511"/>
  <c r="C511"/>
  <c r="D861"/>
  <c r="C861"/>
  <c r="D860"/>
  <c r="C860"/>
  <c r="D549"/>
  <c r="C549"/>
  <c r="D536"/>
  <c r="C536"/>
  <c r="D715"/>
  <c r="C715"/>
  <c r="D611"/>
  <c r="C611"/>
  <c r="D711"/>
  <c r="C711"/>
  <c r="D814"/>
  <c r="C814"/>
  <c r="D744"/>
  <c r="C744"/>
  <c r="D593"/>
  <c r="C593"/>
  <c r="D728"/>
  <c r="C728"/>
  <c r="D859"/>
  <c r="C859"/>
  <c r="D717"/>
  <c r="C717"/>
  <c r="D534"/>
  <c r="C534"/>
  <c r="D710"/>
  <c r="C710"/>
  <c r="D535"/>
  <c r="C535"/>
  <c r="D687"/>
  <c r="C687"/>
  <c r="D858"/>
  <c r="C858"/>
  <c r="D857"/>
  <c r="C857"/>
  <c r="D856"/>
  <c r="C856"/>
  <c r="D618"/>
  <c r="C618"/>
  <c r="D855"/>
  <c r="C855"/>
  <c r="D622"/>
  <c r="C622"/>
  <c r="D532"/>
  <c r="C532"/>
  <c r="D664"/>
  <c r="C664"/>
  <c r="D490"/>
  <c r="C490"/>
  <c r="D646"/>
  <c r="C646"/>
  <c r="D854"/>
  <c r="C854"/>
  <c r="D501"/>
  <c r="C501"/>
  <c r="D853"/>
  <c r="C853"/>
  <c r="D831"/>
  <c r="C831"/>
  <c r="D852"/>
  <c r="C852"/>
  <c r="D604"/>
  <c r="C604"/>
  <c r="D722"/>
  <c r="C722"/>
  <c r="D851"/>
  <c r="C851"/>
  <c r="D803"/>
  <c r="C803"/>
  <c r="D819"/>
  <c r="C819"/>
  <c r="D689"/>
  <c r="C689"/>
  <c r="D645"/>
  <c r="C645"/>
  <c r="D850"/>
  <c r="C850"/>
  <c r="D525"/>
  <c r="C525"/>
  <c r="D824"/>
  <c r="C824"/>
  <c r="D738"/>
  <c r="C738"/>
  <c r="D706"/>
  <c r="C706"/>
  <c r="D691"/>
  <c r="C691"/>
  <c r="D752"/>
  <c r="C752"/>
  <c r="D545"/>
  <c r="C545"/>
  <c r="D456"/>
  <c r="C456"/>
  <c r="D663"/>
  <c r="C663"/>
  <c r="D631"/>
  <c r="C631"/>
  <c r="D849"/>
  <c r="C849"/>
  <c r="D848"/>
  <c r="C848"/>
  <c r="D455"/>
  <c r="C455"/>
  <c r="D808"/>
  <c r="C808"/>
  <c r="D797"/>
  <c r="C797"/>
  <c r="D505"/>
  <c r="C505"/>
  <c r="D847"/>
  <c r="C847"/>
  <c r="D846"/>
  <c r="C846"/>
  <c r="D477"/>
  <c r="C477"/>
  <c r="D845"/>
  <c r="C845"/>
  <c r="D820"/>
  <c r="C820"/>
  <c r="D762"/>
  <c r="C762"/>
  <c r="D476"/>
  <c r="C476"/>
  <c r="D672"/>
  <c r="C672"/>
  <c r="D543"/>
  <c r="C543"/>
  <c r="D614"/>
  <c r="C614"/>
  <c r="D657"/>
  <c r="C657"/>
  <c r="D767"/>
  <c r="C767"/>
  <c r="D844"/>
  <c r="C844"/>
  <c r="D792"/>
  <c r="C792"/>
  <c r="D660"/>
  <c r="C660"/>
  <c r="D521"/>
  <c r="C521"/>
  <c r="D843"/>
  <c r="C843"/>
  <c r="D801"/>
  <c r="C801"/>
  <c r="D654"/>
  <c r="C654"/>
  <c r="D842"/>
  <c r="C842"/>
  <c r="D571"/>
  <c r="C571"/>
  <c r="D683"/>
  <c r="C683"/>
  <c r="D461"/>
  <c r="C461"/>
  <c r="D747"/>
  <c r="C747"/>
  <c r="D841"/>
  <c r="C841"/>
  <c r="D743"/>
  <c r="C743"/>
  <c r="D840"/>
  <c r="C840"/>
  <c r="D529"/>
  <c r="C529"/>
  <c r="D633"/>
  <c r="C633"/>
  <c r="D389"/>
  <c r="C389"/>
  <c r="D388"/>
  <c r="C388"/>
  <c r="D387"/>
  <c r="C387"/>
  <c r="D386"/>
  <c r="C386"/>
  <c r="D39"/>
  <c r="C39"/>
  <c r="D31"/>
  <c r="C31"/>
  <c r="D385"/>
  <c r="C385"/>
  <c r="D180"/>
  <c r="C180"/>
  <c r="D384"/>
  <c r="C384"/>
  <c r="D383"/>
  <c r="C383"/>
  <c r="D149"/>
  <c r="C149"/>
  <c r="D264"/>
  <c r="C264"/>
  <c r="D144"/>
  <c r="C144"/>
  <c r="D276"/>
  <c r="C276"/>
  <c r="D221"/>
  <c r="C221"/>
  <c r="D270"/>
  <c r="C270"/>
  <c r="D382"/>
  <c r="C382"/>
  <c r="D53"/>
  <c r="C53"/>
  <c r="D22"/>
  <c r="C22"/>
  <c r="D254"/>
  <c r="C254"/>
  <c r="D197"/>
  <c r="C197"/>
  <c r="D56"/>
  <c r="C56"/>
  <c r="D40"/>
  <c r="C40"/>
  <c r="D88"/>
  <c r="C88"/>
  <c r="D219"/>
  <c r="C219"/>
  <c r="D381"/>
  <c r="C381"/>
  <c r="D111"/>
  <c r="C111"/>
  <c r="D380"/>
  <c r="C380"/>
  <c r="D272"/>
  <c r="C272"/>
  <c r="D49"/>
  <c r="C49"/>
  <c r="D224"/>
  <c r="C224"/>
  <c r="D379"/>
  <c r="C379"/>
  <c r="D229"/>
  <c r="C229"/>
  <c r="D194"/>
  <c r="C194"/>
  <c r="D140"/>
  <c r="C140"/>
  <c r="D155"/>
  <c r="C155"/>
  <c r="D186"/>
  <c r="C186"/>
  <c r="D227"/>
  <c r="C227"/>
  <c r="D129"/>
  <c r="C129"/>
  <c r="D240"/>
  <c r="C240"/>
  <c r="D378"/>
  <c r="C378"/>
  <c r="D191"/>
  <c r="C191"/>
  <c r="D377"/>
  <c r="C377"/>
  <c r="D205"/>
  <c r="C205"/>
  <c r="D275"/>
  <c r="C275"/>
  <c r="D86"/>
  <c r="C86"/>
  <c r="D118"/>
  <c r="C118"/>
  <c r="D230"/>
  <c r="C230"/>
  <c r="D376"/>
  <c r="C376"/>
  <c r="D47"/>
  <c r="C47"/>
  <c r="D375"/>
  <c r="C375"/>
  <c r="D64"/>
  <c r="C64"/>
  <c r="D374"/>
  <c r="C374"/>
  <c r="D135"/>
  <c r="C135"/>
  <c r="D373"/>
  <c r="C373"/>
  <c r="D193"/>
  <c r="C193"/>
  <c r="D372"/>
  <c r="C372"/>
  <c r="D238"/>
  <c r="C238"/>
  <c r="D265"/>
  <c r="C265"/>
  <c r="D33"/>
  <c r="C33"/>
  <c r="D127"/>
  <c r="C127"/>
  <c r="D371"/>
  <c r="C371"/>
  <c r="D370"/>
  <c r="C370"/>
  <c r="D154"/>
  <c r="C154"/>
  <c r="D292"/>
  <c r="C292"/>
  <c r="D45"/>
  <c r="C45"/>
  <c r="D199"/>
  <c r="C199"/>
  <c r="D96"/>
  <c r="C96"/>
  <c r="D181"/>
  <c r="C181"/>
  <c r="D108"/>
  <c r="C108"/>
  <c r="D121"/>
  <c r="C121"/>
  <c r="D68"/>
  <c r="C68"/>
  <c r="D113"/>
  <c r="C113"/>
  <c r="D369"/>
  <c r="C369"/>
  <c r="D14"/>
  <c r="C14"/>
  <c r="D41"/>
  <c r="C41"/>
  <c r="D368"/>
  <c r="C368"/>
  <c r="D83"/>
  <c r="C83"/>
  <c r="D367"/>
  <c r="C367"/>
  <c r="D366"/>
  <c r="C366"/>
  <c r="D78"/>
  <c r="C78"/>
  <c r="D365"/>
  <c r="C365"/>
  <c r="D34"/>
  <c r="C34"/>
  <c r="D260"/>
  <c r="C260"/>
  <c r="D171"/>
  <c r="C171"/>
  <c r="D167"/>
  <c r="C167"/>
  <c r="D51"/>
  <c r="C51"/>
  <c r="D283"/>
  <c r="C283"/>
  <c r="D266"/>
  <c r="C266"/>
  <c r="D123"/>
  <c r="C123"/>
  <c r="D364"/>
  <c r="C364"/>
  <c r="D76"/>
  <c r="C76"/>
  <c r="D37"/>
  <c r="C37"/>
  <c r="D50"/>
  <c r="C50"/>
  <c r="D363"/>
  <c r="C363"/>
  <c r="D133"/>
  <c r="C133"/>
  <c r="D81"/>
  <c r="C81"/>
  <c r="D38"/>
  <c r="C38"/>
  <c r="D10"/>
  <c r="C10"/>
  <c r="D131"/>
  <c r="C131"/>
  <c r="D138"/>
  <c r="C138"/>
  <c r="D248"/>
  <c r="C248"/>
  <c r="D362"/>
  <c r="C362"/>
  <c r="D285"/>
  <c r="C285"/>
  <c r="D280"/>
  <c r="C280"/>
  <c r="D361"/>
  <c r="C361"/>
  <c r="D67"/>
  <c r="C67"/>
  <c r="D360"/>
  <c r="C360"/>
  <c r="D281"/>
  <c r="C281"/>
  <c r="D62"/>
  <c r="C62"/>
  <c r="D203"/>
  <c r="C203"/>
  <c r="D93"/>
  <c r="C93"/>
  <c r="D42"/>
  <c r="C42"/>
  <c r="D134"/>
  <c r="C134"/>
  <c r="D206"/>
  <c r="C206"/>
  <c r="D359"/>
  <c r="C359"/>
  <c r="D202"/>
  <c r="C202"/>
  <c r="D228"/>
  <c r="C228"/>
  <c r="D90"/>
  <c r="C90"/>
  <c r="D358"/>
  <c r="C358"/>
  <c r="D152"/>
  <c r="C152"/>
  <c r="D26"/>
  <c r="C26"/>
  <c r="D75"/>
  <c r="C75"/>
  <c r="D85"/>
  <c r="C85"/>
  <c r="D160"/>
  <c r="C160"/>
  <c r="D69"/>
  <c r="C69"/>
  <c r="D357"/>
  <c r="C357"/>
  <c r="D17"/>
  <c r="C17"/>
  <c r="D163"/>
  <c r="C163"/>
  <c r="D174"/>
  <c r="C174"/>
  <c r="D243"/>
  <c r="C243"/>
  <c r="D162"/>
  <c r="C162"/>
  <c r="D208"/>
  <c r="C208"/>
  <c r="D356"/>
  <c r="C356"/>
  <c r="D271"/>
  <c r="C271"/>
  <c r="D143"/>
  <c r="C143"/>
  <c r="D18"/>
  <c r="C18"/>
  <c r="D4"/>
  <c r="C4"/>
  <c r="D215"/>
  <c r="C215"/>
  <c r="D355"/>
  <c r="C355"/>
  <c r="D354"/>
  <c r="C354"/>
  <c r="D147"/>
  <c r="C147"/>
  <c r="D353"/>
  <c r="C353"/>
  <c r="D352"/>
  <c r="C352"/>
  <c r="D27"/>
  <c r="C27"/>
  <c r="D142"/>
  <c r="C142"/>
  <c r="D212"/>
  <c r="C212"/>
  <c r="D351"/>
  <c r="C351"/>
  <c r="D179"/>
  <c r="C179"/>
  <c r="D178"/>
  <c r="C178"/>
  <c r="D249"/>
  <c r="C249"/>
  <c r="D278"/>
  <c r="C278"/>
  <c r="D350"/>
  <c r="C350"/>
  <c r="D132"/>
  <c r="C132"/>
  <c r="D349"/>
  <c r="C349"/>
  <c r="D74"/>
  <c r="C74"/>
  <c r="D9"/>
  <c r="C9"/>
  <c r="D348"/>
  <c r="C348"/>
  <c r="D347"/>
  <c r="C347"/>
  <c r="D196"/>
  <c r="C196"/>
  <c r="D346"/>
  <c r="C346"/>
  <c r="D185"/>
  <c r="C185"/>
  <c r="D345"/>
  <c r="C345"/>
  <c r="D72"/>
  <c r="C72"/>
  <c r="D126"/>
  <c r="C126"/>
  <c r="D289"/>
  <c r="C289"/>
  <c r="D344"/>
  <c r="C344"/>
  <c r="D182"/>
  <c r="C182"/>
  <c r="D15"/>
  <c r="C15"/>
  <c r="D94"/>
  <c r="C94"/>
  <c r="D286"/>
  <c r="C286"/>
  <c r="D102"/>
  <c r="C102"/>
  <c r="D253"/>
  <c r="C253"/>
  <c r="D343"/>
  <c r="C343"/>
  <c r="D277"/>
  <c r="C277"/>
  <c r="D120"/>
  <c r="C120"/>
  <c r="D252"/>
  <c r="C252"/>
  <c r="D35"/>
  <c r="C35"/>
  <c r="D342"/>
  <c r="C342"/>
  <c r="D145"/>
  <c r="C145"/>
  <c r="D117"/>
  <c r="C117"/>
  <c r="D23"/>
  <c r="C23"/>
  <c r="D341"/>
  <c r="C341"/>
  <c r="D170"/>
  <c r="C170"/>
  <c r="D257"/>
  <c r="C257"/>
  <c r="D16"/>
  <c r="C16"/>
  <c r="D340"/>
  <c r="C340"/>
  <c r="D226"/>
  <c r="C226"/>
  <c r="D159"/>
  <c r="C159"/>
  <c r="D251"/>
  <c r="C251"/>
  <c r="D339"/>
  <c r="C339"/>
  <c r="D166"/>
  <c r="C166"/>
  <c r="D338"/>
  <c r="C338"/>
  <c r="D337"/>
  <c r="C337"/>
  <c r="D336"/>
  <c r="C336"/>
  <c r="D106"/>
  <c r="C106"/>
  <c r="D335"/>
  <c r="C335"/>
  <c r="D223"/>
  <c r="C223"/>
  <c r="D288"/>
  <c r="C288"/>
  <c r="D44"/>
  <c r="C44"/>
  <c r="D6"/>
  <c r="C6"/>
  <c r="D291"/>
  <c r="C291"/>
  <c r="D54"/>
  <c r="C54"/>
  <c r="D164"/>
  <c r="C164"/>
  <c r="D334"/>
  <c r="C334"/>
  <c r="D8"/>
  <c r="C8"/>
  <c r="D268"/>
  <c r="C268"/>
  <c r="D189"/>
  <c r="C189"/>
  <c r="D267"/>
  <c r="C267"/>
  <c r="D89"/>
  <c r="C89"/>
  <c r="D153"/>
  <c r="C153"/>
  <c r="D333"/>
  <c r="C333"/>
  <c r="D332"/>
  <c r="C332"/>
  <c r="D136"/>
  <c r="C136"/>
  <c r="D91"/>
  <c r="C91"/>
  <c r="D105"/>
  <c r="C105"/>
  <c r="D141"/>
  <c r="C141"/>
  <c r="D128"/>
  <c r="C128"/>
  <c r="D331"/>
  <c r="C331"/>
  <c r="D107"/>
  <c r="C107"/>
  <c r="D183"/>
  <c r="C183"/>
  <c r="D269"/>
  <c r="C269"/>
  <c r="D262"/>
  <c r="C262"/>
  <c r="D169"/>
  <c r="C169"/>
  <c r="D112"/>
  <c r="C112"/>
  <c r="D282"/>
  <c r="C282"/>
  <c r="D233"/>
  <c r="C233"/>
  <c r="D109"/>
  <c r="C109"/>
  <c r="D200"/>
  <c r="C200"/>
  <c r="D330"/>
  <c r="C330"/>
  <c r="D225"/>
  <c r="C225"/>
  <c r="D214"/>
  <c r="C214"/>
  <c r="D329"/>
  <c r="C329"/>
  <c r="D58"/>
  <c r="C58"/>
  <c r="D92"/>
  <c r="C92"/>
  <c r="D115"/>
  <c r="C115"/>
  <c r="D258"/>
  <c r="C258"/>
  <c r="D95"/>
  <c r="C95"/>
  <c r="D61"/>
  <c r="C61"/>
  <c r="D77"/>
  <c r="C77"/>
  <c r="D213"/>
  <c r="C213"/>
  <c r="D328"/>
  <c r="C328"/>
  <c r="D172"/>
  <c r="C172"/>
  <c r="D327"/>
  <c r="C327"/>
  <c r="D139"/>
  <c r="C139"/>
  <c r="D195"/>
  <c r="C195"/>
  <c r="D101"/>
  <c r="C101"/>
  <c r="D66"/>
  <c r="C66"/>
  <c r="D46"/>
  <c r="C46"/>
  <c r="D326"/>
  <c r="C326"/>
  <c r="D156"/>
  <c r="C156"/>
  <c r="D241"/>
  <c r="C241"/>
  <c r="D242"/>
  <c r="C242"/>
  <c r="D274"/>
  <c r="C274"/>
  <c r="D87"/>
  <c r="C87"/>
  <c r="D325"/>
  <c r="C325"/>
  <c r="D324"/>
  <c r="C324"/>
  <c r="D273"/>
  <c r="C273"/>
  <c r="D137"/>
  <c r="C137"/>
  <c r="D220"/>
  <c r="C220"/>
  <c r="D177"/>
  <c r="C177"/>
  <c r="D5"/>
  <c r="C5"/>
  <c r="D55"/>
  <c r="C55"/>
  <c r="D158"/>
  <c r="C158"/>
  <c r="D130"/>
  <c r="C130"/>
  <c r="D259"/>
  <c r="C259"/>
  <c r="D323"/>
  <c r="C323"/>
  <c r="D188"/>
  <c r="C188"/>
  <c r="D237"/>
  <c r="C237"/>
  <c r="D279"/>
  <c r="C279"/>
  <c r="D250"/>
  <c r="C250"/>
  <c r="D48"/>
  <c r="C48"/>
  <c r="D322"/>
  <c r="C322"/>
  <c r="D57"/>
  <c r="C57"/>
  <c r="D244"/>
  <c r="C244"/>
  <c r="D321"/>
  <c r="C321"/>
  <c r="D13"/>
  <c r="C13"/>
  <c r="D320"/>
  <c r="C320"/>
  <c r="D319"/>
  <c r="C319"/>
  <c r="D148"/>
  <c r="C148"/>
  <c r="D30"/>
  <c r="C30"/>
  <c r="D84"/>
  <c r="C84"/>
  <c r="D318"/>
  <c r="C318"/>
  <c r="D157"/>
  <c r="C157"/>
  <c r="D317"/>
  <c r="C317"/>
  <c r="D246"/>
  <c r="C246"/>
  <c r="D175"/>
  <c r="C175"/>
  <c r="D80"/>
  <c r="C80"/>
  <c r="D316"/>
  <c r="C316"/>
  <c r="D217"/>
  <c r="C217"/>
  <c r="D315"/>
  <c r="C315"/>
  <c r="D28"/>
  <c r="C28"/>
  <c r="D263"/>
  <c r="C263"/>
  <c r="D43"/>
  <c r="C43"/>
  <c r="D184"/>
  <c r="C184"/>
  <c r="D70"/>
  <c r="C70"/>
  <c r="D3"/>
  <c r="C3"/>
  <c r="D65"/>
  <c r="C65"/>
  <c r="D97"/>
  <c r="C97"/>
  <c r="D216"/>
  <c r="C216"/>
  <c r="D125"/>
  <c r="C125"/>
  <c r="D231"/>
  <c r="C231"/>
  <c r="D314"/>
  <c r="C314"/>
  <c r="D124"/>
  <c r="C124"/>
  <c r="D313"/>
  <c r="C313"/>
  <c r="D245"/>
  <c r="C245"/>
  <c r="D122"/>
  <c r="C122"/>
  <c r="D32"/>
  <c r="C32"/>
  <c r="D312"/>
  <c r="C312"/>
  <c r="D52"/>
  <c r="C52"/>
  <c r="D290"/>
  <c r="C290"/>
  <c r="D311"/>
  <c r="C311"/>
  <c r="D60"/>
  <c r="C60"/>
  <c r="D310"/>
  <c r="C310"/>
  <c r="D236"/>
  <c r="C236"/>
  <c r="D7"/>
  <c r="C7"/>
  <c r="D255"/>
  <c r="C255"/>
  <c r="D165"/>
  <c r="C165"/>
  <c r="D19"/>
  <c r="C19"/>
  <c r="D309"/>
  <c r="C309"/>
  <c r="D247"/>
  <c r="C247"/>
  <c r="D209"/>
  <c r="C209"/>
  <c r="D308"/>
  <c r="C308"/>
  <c r="D29"/>
  <c r="C29"/>
  <c r="D307"/>
  <c r="C307"/>
  <c r="D20"/>
  <c r="C20"/>
  <c r="D176"/>
  <c r="C176"/>
  <c r="D116"/>
  <c r="C116"/>
  <c r="D306"/>
  <c r="C306"/>
  <c r="D12"/>
  <c r="C12"/>
  <c r="D24"/>
  <c r="C24"/>
  <c r="D305"/>
  <c r="C305"/>
  <c r="D235"/>
  <c r="C235"/>
  <c r="D98"/>
  <c r="C98"/>
  <c r="D73"/>
  <c r="C73"/>
  <c r="D190"/>
  <c r="C190"/>
  <c r="D234"/>
  <c r="C234"/>
  <c r="D104"/>
  <c r="C104"/>
  <c r="D103"/>
  <c r="C103"/>
  <c r="D161"/>
  <c r="C161"/>
  <c r="D204"/>
  <c r="C204"/>
  <c r="D304"/>
  <c r="C304"/>
  <c r="D303"/>
  <c r="C303"/>
  <c r="D222"/>
  <c r="C222"/>
  <c r="D287"/>
  <c r="C287"/>
  <c r="D151"/>
  <c r="C151"/>
  <c r="D210"/>
  <c r="C210"/>
  <c r="D302"/>
  <c r="C302"/>
  <c r="D301"/>
  <c r="C301"/>
  <c r="D192"/>
  <c r="C192"/>
  <c r="D79"/>
  <c r="C79"/>
  <c r="D207"/>
  <c r="C207"/>
  <c r="D239"/>
  <c r="C239"/>
  <c r="D11"/>
  <c r="C11"/>
  <c r="D168"/>
  <c r="C168"/>
  <c r="D150"/>
  <c r="C150"/>
  <c r="D146"/>
  <c r="C146"/>
  <c r="D82"/>
  <c r="C82"/>
  <c r="D284"/>
  <c r="C284"/>
  <c r="D218"/>
  <c r="C218"/>
  <c r="D63"/>
  <c r="C63"/>
  <c r="D300"/>
  <c r="C300"/>
  <c r="D25"/>
  <c r="C25"/>
  <c r="D99"/>
  <c r="C99"/>
  <c r="D261"/>
  <c r="C261"/>
  <c r="D211"/>
  <c r="C211"/>
  <c r="D110"/>
  <c r="C110"/>
  <c r="D201"/>
  <c r="C201"/>
  <c r="D198"/>
  <c r="C198"/>
  <c r="D21"/>
  <c r="C21"/>
  <c r="D299"/>
  <c r="C299"/>
  <c r="D298"/>
  <c r="C298"/>
  <c r="D232"/>
  <c r="C232"/>
  <c r="D71"/>
  <c r="C71"/>
  <c r="D100"/>
  <c r="C100"/>
  <c r="D36"/>
  <c r="C36"/>
  <c r="D187"/>
  <c r="C187"/>
  <c r="D119"/>
  <c r="C119"/>
  <c r="D114"/>
  <c r="C114"/>
  <c r="D59"/>
  <c r="C59"/>
  <c r="D173"/>
  <c r="C173"/>
  <c r="D297"/>
  <c r="C297"/>
  <c r="D296"/>
  <c r="C296"/>
  <c r="D295"/>
  <c r="C295"/>
  <c r="D294"/>
  <c r="C294"/>
  <c r="D293"/>
  <c r="C293"/>
  <c r="D256"/>
  <c r="C256"/>
  <c r="D1538"/>
  <c r="C1538"/>
  <c r="D1532"/>
  <c r="C1532"/>
  <c r="D1537"/>
  <c r="C1537"/>
  <c r="D1531"/>
  <c r="C1531"/>
  <c r="D1536"/>
  <c r="C1536"/>
  <c r="D1533"/>
  <c r="C1533"/>
  <c r="D1535"/>
  <c r="C1535"/>
  <c r="D1534"/>
  <c r="C1534"/>
  <c r="D1603"/>
  <c r="C1603"/>
  <c r="D1604"/>
  <c r="C1604"/>
  <c r="D1530"/>
  <c r="C1530"/>
  <c r="D1529"/>
  <c r="C1529"/>
  <c r="D1527"/>
  <c r="C1527"/>
  <c r="D1528"/>
  <c r="C1528"/>
  <c r="D1576"/>
  <c r="C1576"/>
  <c r="D1585"/>
  <c r="C1585"/>
  <c r="D1584"/>
  <c r="C1584"/>
  <c r="D1587"/>
  <c r="C1587"/>
  <c r="D5041"/>
  <c r="C5041"/>
  <c r="D5059"/>
  <c r="C5059"/>
  <c r="D5048"/>
  <c r="C5048"/>
  <c r="D5026"/>
  <c r="C5026"/>
  <c r="D5034"/>
  <c r="C5034"/>
  <c r="D5025"/>
  <c r="C5025"/>
  <c r="D5035"/>
  <c r="C5035"/>
  <c r="D5044"/>
  <c r="C5044"/>
  <c r="D5037"/>
  <c r="C5037"/>
  <c r="D5038"/>
  <c r="C5038"/>
  <c r="D5058"/>
  <c r="C5058"/>
  <c r="D5057"/>
  <c r="C5057"/>
  <c r="D5031"/>
  <c r="C5031"/>
  <c r="D5056"/>
  <c r="C5056"/>
  <c r="D5055"/>
  <c r="C5055"/>
  <c r="D5028"/>
  <c r="C5028"/>
  <c r="D5036"/>
  <c r="C5036"/>
  <c r="D5033"/>
  <c r="C5033"/>
  <c r="D5045"/>
  <c r="C5045"/>
  <c r="D5032"/>
  <c r="C5032"/>
  <c r="D5054"/>
  <c r="C5054"/>
  <c r="D5053"/>
  <c r="C5053"/>
  <c r="D5040"/>
  <c r="C5040"/>
  <c r="D5046"/>
  <c r="C5046"/>
  <c r="D5052"/>
  <c r="C5052"/>
  <c r="D5042"/>
  <c r="C5042"/>
  <c r="D5039"/>
  <c r="C5039"/>
  <c r="D5043"/>
  <c r="C5043"/>
  <c r="D5030"/>
  <c r="C5030"/>
  <c r="D5051"/>
  <c r="C5051"/>
  <c r="D5029"/>
  <c r="C5029"/>
  <c r="D5027"/>
  <c r="C5027"/>
  <c r="D5050"/>
  <c r="C5050"/>
  <c r="D5049"/>
  <c r="C5049"/>
  <c r="D5047"/>
  <c r="C5047"/>
  <c r="D5024"/>
  <c r="C5024"/>
  <c r="D4982"/>
  <c r="C4982"/>
  <c r="D4998"/>
  <c r="C4998"/>
  <c r="D5006"/>
  <c r="C5006"/>
  <c r="D5023"/>
  <c r="C5023"/>
  <c r="D4983"/>
  <c r="C4983"/>
  <c r="D4976"/>
  <c r="C4976"/>
  <c r="D4972"/>
  <c r="C4972"/>
  <c r="D4985"/>
  <c r="C4985"/>
  <c r="D4969"/>
  <c r="C4969"/>
  <c r="D5022"/>
  <c r="C5022"/>
  <c r="D5021"/>
  <c r="C5021"/>
  <c r="D4991"/>
  <c r="C4991"/>
  <c r="D4970"/>
  <c r="C4970"/>
  <c r="D4978"/>
  <c r="C4978"/>
  <c r="D4987"/>
  <c r="C4987"/>
  <c r="D5005"/>
  <c r="C5005"/>
  <c r="D4971"/>
  <c r="C4971"/>
  <c r="D4997"/>
  <c r="C4997"/>
  <c r="D5001"/>
  <c r="C5001"/>
  <c r="D5020"/>
  <c r="C5020"/>
  <c r="D5019"/>
  <c r="C5019"/>
  <c r="D4990"/>
  <c r="C4990"/>
  <c r="D5018"/>
  <c r="C5018"/>
  <c r="D4973"/>
  <c r="C4973"/>
  <c r="D5017"/>
  <c r="C5017"/>
  <c r="D4994"/>
  <c r="C4994"/>
  <c r="D5016"/>
  <c r="C5016"/>
  <c r="D4979"/>
  <c r="C4979"/>
  <c r="D4993"/>
  <c r="C4993"/>
  <c r="D5002"/>
  <c r="C5002"/>
  <c r="D5015"/>
  <c r="C5015"/>
  <c r="D4996"/>
  <c r="C4996"/>
  <c r="D5014"/>
  <c r="C5014"/>
  <c r="D5013"/>
  <c r="C5013"/>
  <c r="D5012"/>
  <c r="C5012"/>
  <c r="D4975"/>
  <c r="C4975"/>
  <c r="D4974"/>
  <c r="C4974"/>
  <c r="D5011"/>
  <c r="C5011"/>
  <c r="D5010"/>
  <c r="C5010"/>
  <c r="D4992"/>
  <c r="C4992"/>
  <c r="D4966"/>
  <c r="C4966"/>
  <c r="D5000"/>
  <c r="C5000"/>
  <c r="D5003"/>
  <c r="C5003"/>
  <c r="D4999"/>
  <c r="C4999"/>
  <c r="D5009"/>
  <c r="C5009"/>
  <c r="D4977"/>
  <c r="C4977"/>
  <c r="D4986"/>
  <c r="C4986"/>
  <c r="D5008"/>
  <c r="C5008"/>
  <c r="D4967"/>
  <c r="C4967"/>
  <c r="D4989"/>
  <c r="C4989"/>
  <c r="D4988"/>
  <c r="C4988"/>
  <c r="D4968"/>
  <c r="C4968"/>
  <c r="D4981"/>
  <c r="C4981"/>
  <c r="D4995"/>
  <c r="C4995"/>
  <c r="D5004"/>
  <c r="C5004"/>
  <c r="D4980"/>
  <c r="C4980"/>
  <c r="D4984"/>
  <c r="C4984"/>
  <c r="D5007"/>
  <c r="C5007"/>
  <c r="D4885"/>
  <c r="C4885"/>
  <c r="D4874"/>
  <c r="C4874"/>
  <c r="D4894"/>
  <c r="C4894"/>
  <c r="D4873"/>
  <c r="C4873"/>
  <c r="D4890"/>
  <c r="C4890"/>
  <c r="D4875"/>
  <c r="C4875"/>
  <c r="D4857"/>
  <c r="C4857"/>
  <c r="D4860"/>
  <c r="C4860"/>
  <c r="D4878"/>
  <c r="C4878"/>
  <c r="D4882"/>
  <c r="C4882"/>
  <c r="D4886"/>
  <c r="C4886"/>
  <c r="D4868"/>
  <c r="C4868"/>
  <c r="D4915"/>
  <c r="C4915"/>
  <c r="D4896"/>
  <c r="C4896"/>
  <c r="D4893"/>
  <c r="C4893"/>
  <c r="D4861"/>
  <c r="C4861"/>
  <c r="D4867"/>
  <c r="C4867"/>
  <c r="D4883"/>
  <c r="C4883"/>
  <c r="D4891"/>
  <c r="C4891"/>
  <c r="D4879"/>
  <c r="C4879"/>
  <c r="D4866"/>
  <c r="C4866"/>
  <c r="D4855"/>
  <c r="C4855"/>
  <c r="D4876"/>
  <c r="C4876"/>
  <c r="D4880"/>
  <c r="C4880"/>
  <c r="D4881"/>
  <c r="C4881"/>
  <c r="D4914"/>
  <c r="C4914"/>
  <c r="D4913"/>
  <c r="C4913"/>
  <c r="D4884"/>
  <c r="C4884"/>
  <c r="D4912"/>
  <c r="C4912"/>
  <c r="D4911"/>
  <c r="C4911"/>
  <c r="D4910"/>
  <c r="C4910"/>
  <c r="D4909"/>
  <c r="C4909"/>
  <c r="D4908"/>
  <c r="C4908"/>
  <c r="D4892"/>
  <c r="C4892"/>
  <c r="D4858"/>
  <c r="C4858"/>
  <c r="D4907"/>
  <c r="C4907"/>
  <c r="D4856"/>
  <c r="C4856"/>
  <c r="D4869"/>
  <c r="C4869"/>
  <c r="D4906"/>
  <c r="C4906"/>
  <c r="D4905"/>
  <c r="C4905"/>
  <c r="D4904"/>
  <c r="C4904"/>
  <c r="D4887"/>
  <c r="C4887"/>
  <c r="D4872"/>
  <c r="C4872"/>
  <c r="D4903"/>
  <c r="C4903"/>
  <c r="D4902"/>
  <c r="C4902"/>
  <c r="D4862"/>
  <c r="C4862"/>
  <c r="D4870"/>
  <c r="C4870"/>
  <c r="D4901"/>
  <c r="C4901"/>
  <c r="D4900"/>
  <c r="C4900"/>
  <c r="D4877"/>
  <c r="C4877"/>
  <c r="D4899"/>
  <c r="C4899"/>
  <c r="D4889"/>
  <c r="C4889"/>
  <c r="D4865"/>
  <c r="C4865"/>
  <c r="D4864"/>
  <c r="C4864"/>
  <c r="D4898"/>
  <c r="C4898"/>
  <c r="D4897"/>
  <c r="C4897"/>
  <c r="D4895"/>
  <c r="C4895"/>
  <c r="D4859"/>
  <c r="C4859"/>
  <c r="D4871"/>
  <c r="C4871"/>
  <c r="D4863"/>
  <c r="C4863"/>
  <c r="D4888"/>
  <c r="C4888"/>
  <c r="D4801"/>
  <c r="C4801"/>
  <c r="D4854"/>
  <c r="C4854"/>
  <c r="D4779"/>
  <c r="C4779"/>
  <c r="D4853"/>
  <c r="C4853"/>
  <c r="D4785"/>
  <c r="C4785"/>
  <c r="D4787"/>
  <c r="C4787"/>
  <c r="D4852"/>
  <c r="C4852"/>
  <c r="D4820"/>
  <c r="C4820"/>
  <c r="D4766"/>
  <c r="C4766"/>
  <c r="D4782"/>
  <c r="C4782"/>
  <c r="D4851"/>
  <c r="C4851"/>
  <c r="D4850"/>
  <c r="C4850"/>
  <c r="D4849"/>
  <c r="C4849"/>
  <c r="D4798"/>
  <c r="C4798"/>
  <c r="D4848"/>
  <c r="C4848"/>
  <c r="D4794"/>
  <c r="C4794"/>
  <c r="D4847"/>
  <c r="C4847"/>
  <c r="D4770"/>
  <c r="C4770"/>
  <c r="D4846"/>
  <c r="C4846"/>
  <c r="D4818"/>
  <c r="C4818"/>
  <c r="D4845"/>
  <c r="C4845"/>
  <c r="D4776"/>
  <c r="C4776"/>
  <c r="D4844"/>
  <c r="C4844"/>
  <c r="D4813"/>
  <c r="C4813"/>
  <c r="D4793"/>
  <c r="C4793"/>
  <c r="D4812"/>
  <c r="C4812"/>
  <c r="D4843"/>
  <c r="C4843"/>
  <c r="D4769"/>
  <c r="C4769"/>
  <c r="D4811"/>
  <c r="C4811"/>
  <c r="D4842"/>
  <c r="C4842"/>
  <c r="D4800"/>
  <c r="C4800"/>
  <c r="D4807"/>
  <c r="C4807"/>
  <c r="D4792"/>
  <c r="C4792"/>
  <c r="D4841"/>
  <c r="C4841"/>
  <c r="D4778"/>
  <c r="C4778"/>
  <c r="D4840"/>
  <c r="C4840"/>
  <c r="D4777"/>
  <c r="C4777"/>
  <c r="D4774"/>
  <c r="C4774"/>
  <c r="D4839"/>
  <c r="C4839"/>
  <c r="D4802"/>
  <c r="C4802"/>
  <c r="D4810"/>
  <c r="C4810"/>
  <c r="D4809"/>
  <c r="C4809"/>
  <c r="D4808"/>
  <c r="C4808"/>
  <c r="D4783"/>
  <c r="C4783"/>
  <c r="D4838"/>
  <c r="C4838"/>
  <c r="D4773"/>
  <c r="C4773"/>
  <c r="D4837"/>
  <c r="C4837"/>
  <c r="D4790"/>
  <c r="C4790"/>
  <c r="D4788"/>
  <c r="C4788"/>
  <c r="D4781"/>
  <c r="C4781"/>
  <c r="D4780"/>
  <c r="C4780"/>
  <c r="D4814"/>
  <c r="C4814"/>
  <c r="D4799"/>
  <c r="C4799"/>
  <c r="D4803"/>
  <c r="C4803"/>
  <c r="D4819"/>
  <c r="C4819"/>
  <c r="D4836"/>
  <c r="C4836"/>
  <c r="D4816"/>
  <c r="C4816"/>
  <c r="D4835"/>
  <c r="C4835"/>
  <c r="D4784"/>
  <c r="C4784"/>
  <c r="D4834"/>
  <c r="C4834"/>
  <c r="D4833"/>
  <c r="C4833"/>
  <c r="D4791"/>
  <c r="C4791"/>
  <c r="D4768"/>
  <c r="C4768"/>
  <c r="D4832"/>
  <c r="C4832"/>
  <c r="D4775"/>
  <c r="C4775"/>
  <c r="D4789"/>
  <c r="C4789"/>
  <c r="D4771"/>
  <c r="C4771"/>
  <c r="D4806"/>
  <c r="C4806"/>
  <c r="D4831"/>
  <c r="C4831"/>
  <c r="D4821"/>
  <c r="C4821"/>
  <c r="D4796"/>
  <c r="C4796"/>
  <c r="D4830"/>
  <c r="C4830"/>
  <c r="D4829"/>
  <c r="C4829"/>
  <c r="D4828"/>
  <c r="C4828"/>
  <c r="D4817"/>
  <c r="C4817"/>
  <c r="D4827"/>
  <c r="C4827"/>
  <c r="D4815"/>
  <c r="C4815"/>
  <c r="D4772"/>
  <c r="C4772"/>
  <c r="D4795"/>
  <c r="C4795"/>
  <c r="D4804"/>
  <c r="C4804"/>
  <c r="D4826"/>
  <c r="C4826"/>
  <c r="D4767"/>
  <c r="C4767"/>
  <c r="D4825"/>
  <c r="C4825"/>
  <c r="D4786"/>
  <c r="C4786"/>
  <c r="D4797"/>
  <c r="C4797"/>
  <c r="D4805"/>
  <c r="C4805"/>
  <c r="D4824"/>
  <c r="C4824"/>
  <c r="D4823"/>
  <c r="C4823"/>
  <c r="D4822"/>
  <c r="C4822"/>
  <c r="D4642"/>
  <c r="C4642"/>
  <c r="D4620"/>
  <c r="C4620"/>
  <c r="D4640"/>
  <c r="C4640"/>
  <c r="D4681"/>
  <c r="C4681"/>
  <c r="D4662"/>
  <c r="C4662"/>
  <c r="D4634"/>
  <c r="C4634"/>
  <c r="D4639"/>
  <c r="C4639"/>
  <c r="D4683"/>
  <c r="C4683"/>
  <c r="D4765"/>
  <c r="C4765"/>
  <c r="D4764"/>
  <c r="C4764"/>
  <c r="D4763"/>
  <c r="C4763"/>
  <c r="D4641"/>
  <c r="C4641"/>
  <c r="D4762"/>
  <c r="C4762"/>
  <c r="D4622"/>
  <c r="C4622"/>
  <c r="D4619"/>
  <c r="C4619"/>
  <c r="D4761"/>
  <c r="C4761"/>
  <c r="D4760"/>
  <c r="C4760"/>
  <c r="D4759"/>
  <c r="C4759"/>
  <c r="D4636"/>
  <c r="C4636"/>
  <c r="D4635"/>
  <c r="C4635"/>
  <c r="D4758"/>
  <c r="C4758"/>
  <c r="D4677"/>
  <c r="C4677"/>
  <c r="D4697"/>
  <c r="C4697"/>
  <c r="D4665"/>
  <c r="C4665"/>
  <c r="D4667"/>
  <c r="C4667"/>
  <c r="D4757"/>
  <c r="C4757"/>
  <c r="D4633"/>
  <c r="C4633"/>
  <c r="D4756"/>
  <c r="C4756"/>
  <c r="D4655"/>
  <c r="C4655"/>
  <c r="D4657"/>
  <c r="C4657"/>
  <c r="D4685"/>
  <c r="C4685"/>
  <c r="D4615"/>
  <c r="C4615"/>
  <c r="D4755"/>
  <c r="C4755"/>
  <c r="D4617"/>
  <c r="C4617"/>
  <c r="D4669"/>
  <c r="C4669"/>
  <c r="D4713"/>
  <c r="C4713"/>
  <c r="D4696"/>
  <c r="C4696"/>
  <c r="D4754"/>
  <c r="C4754"/>
  <c r="D4702"/>
  <c r="C4702"/>
  <c r="D4625"/>
  <c r="C4625"/>
  <c r="D4630"/>
  <c r="C4630"/>
  <c r="D4616"/>
  <c r="C4616"/>
  <c r="D4753"/>
  <c r="C4753"/>
  <c r="D4752"/>
  <c r="C4752"/>
  <c r="D4695"/>
  <c r="C4695"/>
  <c r="D4751"/>
  <c r="C4751"/>
  <c r="D4750"/>
  <c r="C4750"/>
  <c r="D4693"/>
  <c r="C4693"/>
  <c r="D4644"/>
  <c r="C4644"/>
  <c r="D4749"/>
  <c r="C4749"/>
  <c r="D4748"/>
  <c r="C4748"/>
  <c r="D4658"/>
  <c r="C4658"/>
  <c r="D4666"/>
  <c r="C4666"/>
  <c r="D4643"/>
  <c r="C4643"/>
  <c r="D4649"/>
  <c r="C4649"/>
  <c r="D4684"/>
  <c r="C4684"/>
  <c r="D4648"/>
  <c r="C4648"/>
  <c r="D4621"/>
  <c r="C4621"/>
  <c r="D4653"/>
  <c r="C4653"/>
  <c r="D4747"/>
  <c r="C4747"/>
  <c r="D4746"/>
  <c r="C4746"/>
  <c r="D4745"/>
  <c r="C4745"/>
  <c r="D4628"/>
  <c r="C4628"/>
  <c r="D4659"/>
  <c r="C4659"/>
  <c r="D4674"/>
  <c r="C4674"/>
  <c r="D4714"/>
  <c r="C4714"/>
  <c r="D4671"/>
  <c r="C4671"/>
  <c r="D4626"/>
  <c r="C4626"/>
  <c r="D4618"/>
  <c r="C4618"/>
  <c r="D4673"/>
  <c r="C4673"/>
  <c r="D4661"/>
  <c r="C4661"/>
  <c r="D4708"/>
  <c r="C4708"/>
  <c r="D4647"/>
  <c r="C4647"/>
  <c r="D4623"/>
  <c r="C4623"/>
  <c r="D4652"/>
  <c r="C4652"/>
  <c r="D4744"/>
  <c r="C4744"/>
  <c r="D4624"/>
  <c r="C4624"/>
  <c r="D4743"/>
  <c r="C4743"/>
  <c r="D4742"/>
  <c r="C4742"/>
  <c r="D4646"/>
  <c r="C4646"/>
  <c r="D4709"/>
  <c r="C4709"/>
  <c r="D4676"/>
  <c r="C4676"/>
  <c r="D4651"/>
  <c r="C4651"/>
  <c r="D4692"/>
  <c r="C4692"/>
  <c r="D4741"/>
  <c r="C4741"/>
  <c r="D4687"/>
  <c r="C4687"/>
  <c r="D4664"/>
  <c r="C4664"/>
  <c r="D4627"/>
  <c r="C4627"/>
  <c r="D4740"/>
  <c r="C4740"/>
  <c r="D4631"/>
  <c r="C4631"/>
  <c r="D4739"/>
  <c r="C4739"/>
  <c r="D4738"/>
  <c r="C4738"/>
  <c r="D4737"/>
  <c r="C4737"/>
  <c r="D4736"/>
  <c r="C4736"/>
  <c r="D4710"/>
  <c r="C4710"/>
  <c r="D4706"/>
  <c r="C4706"/>
  <c r="D4629"/>
  <c r="C4629"/>
  <c r="D4701"/>
  <c r="C4701"/>
  <c r="D4735"/>
  <c r="C4735"/>
  <c r="D4700"/>
  <c r="C4700"/>
  <c r="D4660"/>
  <c r="C4660"/>
  <c r="D4632"/>
  <c r="C4632"/>
  <c r="D4734"/>
  <c r="C4734"/>
  <c r="D4733"/>
  <c r="C4733"/>
  <c r="D4707"/>
  <c r="C4707"/>
  <c r="D4670"/>
  <c r="C4670"/>
  <c r="D4688"/>
  <c r="C4688"/>
  <c r="D4732"/>
  <c r="C4732"/>
  <c r="D4680"/>
  <c r="C4680"/>
  <c r="D4731"/>
  <c r="C4731"/>
  <c r="D4682"/>
  <c r="C4682"/>
  <c r="D4645"/>
  <c r="C4645"/>
  <c r="D4704"/>
  <c r="C4704"/>
  <c r="D4730"/>
  <c r="C4730"/>
  <c r="D4656"/>
  <c r="C4656"/>
  <c r="D4729"/>
  <c r="C4729"/>
  <c r="D4728"/>
  <c r="C4728"/>
  <c r="D4663"/>
  <c r="C4663"/>
  <c r="D4727"/>
  <c r="C4727"/>
  <c r="D4679"/>
  <c r="C4679"/>
  <c r="D4726"/>
  <c r="C4726"/>
  <c r="D4725"/>
  <c r="C4725"/>
  <c r="D4638"/>
  <c r="C4638"/>
  <c r="D4715"/>
  <c r="C4715"/>
  <c r="D4712"/>
  <c r="C4712"/>
  <c r="D4703"/>
  <c r="C4703"/>
  <c r="D4724"/>
  <c r="C4724"/>
  <c r="D4723"/>
  <c r="C4723"/>
  <c r="D4694"/>
  <c r="C4694"/>
  <c r="D4722"/>
  <c r="C4722"/>
  <c r="D4721"/>
  <c r="C4721"/>
  <c r="D4686"/>
  <c r="C4686"/>
  <c r="D4698"/>
  <c r="C4698"/>
  <c r="D4699"/>
  <c r="C4699"/>
  <c r="D4689"/>
  <c r="C4689"/>
  <c r="D4650"/>
  <c r="C4650"/>
  <c r="D4690"/>
  <c r="C4690"/>
  <c r="D4720"/>
  <c r="C4720"/>
  <c r="D4678"/>
  <c r="C4678"/>
  <c r="D4668"/>
  <c r="C4668"/>
  <c r="D4654"/>
  <c r="C4654"/>
  <c r="D4719"/>
  <c r="C4719"/>
  <c r="D4718"/>
  <c r="C4718"/>
  <c r="D4691"/>
  <c r="C4691"/>
  <c r="D4717"/>
  <c r="C4717"/>
  <c r="D4675"/>
  <c r="C4675"/>
  <c r="D4716"/>
  <c r="C4716"/>
  <c r="D4711"/>
  <c r="C4711"/>
  <c r="D4672"/>
  <c r="C4672"/>
  <c r="D4705"/>
  <c r="C4705"/>
  <c r="D4637"/>
  <c r="C4637"/>
  <c r="D4614"/>
  <c r="C4614"/>
  <c r="D4460"/>
  <c r="C4460"/>
  <c r="D4449"/>
  <c r="C4449"/>
  <c r="D4420"/>
  <c r="C4420"/>
  <c r="D4438"/>
  <c r="C4438"/>
  <c r="D4392"/>
  <c r="C4392"/>
  <c r="D4613"/>
  <c r="C4613"/>
  <c r="D4398"/>
  <c r="C4398"/>
  <c r="D4612"/>
  <c r="C4612"/>
  <c r="D4453"/>
  <c r="C4453"/>
  <c r="D4611"/>
  <c r="C4611"/>
  <c r="D4485"/>
  <c r="C4485"/>
  <c r="D4465"/>
  <c r="C4465"/>
  <c r="D4390"/>
  <c r="C4390"/>
  <c r="D4610"/>
  <c r="C4610"/>
  <c r="D4609"/>
  <c r="C4609"/>
  <c r="D4397"/>
  <c r="C4397"/>
  <c r="D4509"/>
  <c r="C4509"/>
  <c r="D4437"/>
  <c r="C4437"/>
  <c r="D4411"/>
  <c r="C4411"/>
  <c r="D4445"/>
  <c r="C4445"/>
  <c r="D4608"/>
  <c r="C4608"/>
  <c r="D4607"/>
  <c r="C4607"/>
  <c r="D4606"/>
  <c r="C4606"/>
  <c r="D4459"/>
  <c r="C4459"/>
  <c r="D4467"/>
  <c r="C4467"/>
  <c r="D4413"/>
  <c r="C4413"/>
  <c r="D4605"/>
  <c r="C4605"/>
  <c r="D4604"/>
  <c r="C4604"/>
  <c r="D4603"/>
  <c r="C4603"/>
  <c r="D4479"/>
  <c r="C4479"/>
  <c r="D4363"/>
  <c r="C4363"/>
  <c r="D4602"/>
  <c r="C4602"/>
  <c r="D4601"/>
  <c r="C4601"/>
  <c r="D4600"/>
  <c r="C4600"/>
  <c r="D4370"/>
  <c r="C4370"/>
  <c r="D4522"/>
  <c r="C4522"/>
  <c r="D4457"/>
  <c r="C4457"/>
  <c r="D4454"/>
  <c r="C4454"/>
  <c r="D4531"/>
  <c r="C4531"/>
  <c r="D4429"/>
  <c r="C4429"/>
  <c r="D4599"/>
  <c r="C4599"/>
  <c r="D4416"/>
  <c r="C4416"/>
  <c r="D4386"/>
  <c r="C4386"/>
  <c r="D4466"/>
  <c r="C4466"/>
  <c r="D4469"/>
  <c r="C4469"/>
  <c r="D4598"/>
  <c r="C4598"/>
  <c r="D4597"/>
  <c r="C4597"/>
  <c r="D4362"/>
  <c r="C4362"/>
  <c r="D4396"/>
  <c r="C4396"/>
  <c r="D4596"/>
  <c r="C4596"/>
  <c r="D4468"/>
  <c r="C4468"/>
  <c r="D4595"/>
  <c r="C4595"/>
  <c r="D4594"/>
  <c r="C4594"/>
  <c r="D4593"/>
  <c r="C4593"/>
  <c r="D4382"/>
  <c r="C4382"/>
  <c r="D4592"/>
  <c r="C4592"/>
  <c r="D4378"/>
  <c r="C4378"/>
  <c r="D4591"/>
  <c r="C4591"/>
  <c r="D4517"/>
  <c r="C4517"/>
  <c r="D4410"/>
  <c r="C4410"/>
  <c r="D4387"/>
  <c r="C4387"/>
  <c r="D4388"/>
  <c r="C4388"/>
  <c r="D4590"/>
  <c r="C4590"/>
  <c r="D4456"/>
  <c r="C4456"/>
  <c r="D4395"/>
  <c r="C4395"/>
  <c r="D4589"/>
  <c r="C4589"/>
  <c r="D4588"/>
  <c r="C4588"/>
  <c r="D4518"/>
  <c r="C4518"/>
  <c r="D4587"/>
  <c r="C4587"/>
  <c r="D4369"/>
  <c r="C4369"/>
  <c r="D4364"/>
  <c r="C4364"/>
  <c r="D4586"/>
  <c r="C4586"/>
  <c r="D4503"/>
  <c r="C4503"/>
  <c r="D4585"/>
  <c r="C4585"/>
  <c r="D4484"/>
  <c r="C4484"/>
  <c r="D4584"/>
  <c r="C4584"/>
  <c r="D4507"/>
  <c r="C4507"/>
  <c r="D4583"/>
  <c r="C4583"/>
  <c r="D4534"/>
  <c r="C4534"/>
  <c r="D4582"/>
  <c r="C4582"/>
  <c r="D4394"/>
  <c r="C4394"/>
  <c r="D4515"/>
  <c r="C4515"/>
  <c r="D4581"/>
  <c r="C4581"/>
  <c r="D4423"/>
  <c r="C4423"/>
  <c r="D4418"/>
  <c r="C4418"/>
  <c r="D4434"/>
  <c r="C4434"/>
  <c r="D4580"/>
  <c r="C4580"/>
  <c r="D4528"/>
  <c r="C4528"/>
  <c r="D4474"/>
  <c r="C4474"/>
  <c r="D4450"/>
  <c r="C4450"/>
  <c r="D4478"/>
  <c r="C4478"/>
  <c r="D4440"/>
  <c r="C4440"/>
  <c r="D4473"/>
  <c r="C4473"/>
  <c r="D4579"/>
  <c r="C4579"/>
  <c r="D4578"/>
  <c r="C4578"/>
  <c r="D4426"/>
  <c r="C4426"/>
  <c r="D4400"/>
  <c r="C4400"/>
  <c r="D4577"/>
  <c r="C4577"/>
  <c r="D4514"/>
  <c r="C4514"/>
  <c r="D4366"/>
  <c r="C4366"/>
  <c r="D4436"/>
  <c r="C4436"/>
  <c r="D4463"/>
  <c r="C4463"/>
  <c r="D4399"/>
  <c r="C4399"/>
  <c r="D4475"/>
  <c r="C4475"/>
  <c r="D4358"/>
  <c r="C4358"/>
  <c r="D4576"/>
  <c r="C4576"/>
  <c r="D4432"/>
  <c r="C4432"/>
  <c r="D4443"/>
  <c r="C4443"/>
  <c r="D4444"/>
  <c r="C4444"/>
  <c r="D4439"/>
  <c r="C4439"/>
  <c r="D4431"/>
  <c r="C4431"/>
  <c r="D4421"/>
  <c r="C4421"/>
  <c r="D4520"/>
  <c r="C4520"/>
  <c r="D4575"/>
  <c r="C4575"/>
  <c r="D4441"/>
  <c r="C4441"/>
  <c r="D4488"/>
  <c r="C4488"/>
  <c r="D4574"/>
  <c r="C4574"/>
  <c r="D4381"/>
  <c r="C4381"/>
  <c r="D4529"/>
  <c r="C4529"/>
  <c r="D4458"/>
  <c r="C4458"/>
  <c r="D4376"/>
  <c r="C4376"/>
  <c r="D4573"/>
  <c r="C4573"/>
  <c r="D4383"/>
  <c r="C4383"/>
  <c r="D4404"/>
  <c r="C4404"/>
  <c r="D4360"/>
  <c r="C4360"/>
  <c r="D4427"/>
  <c r="C4427"/>
  <c r="D4511"/>
  <c r="C4511"/>
  <c r="D4572"/>
  <c r="C4572"/>
  <c r="D4571"/>
  <c r="C4571"/>
  <c r="D4497"/>
  <c r="C4497"/>
  <c r="D4372"/>
  <c r="C4372"/>
  <c r="D4483"/>
  <c r="C4483"/>
  <c r="D4510"/>
  <c r="C4510"/>
  <c r="D4452"/>
  <c r="C4452"/>
  <c r="D4570"/>
  <c r="C4570"/>
  <c r="D4569"/>
  <c r="C4569"/>
  <c r="D4494"/>
  <c r="C4494"/>
  <c r="D4472"/>
  <c r="C4472"/>
  <c r="D4405"/>
  <c r="C4405"/>
  <c r="D4532"/>
  <c r="C4532"/>
  <c r="D4375"/>
  <c r="C4375"/>
  <c r="D4568"/>
  <c r="C4568"/>
  <c r="D4389"/>
  <c r="C4389"/>
  <c r="D4451"/>
  <c r="C4451"/>
  <c r="D4506"/>
  <c r="C4506"/>
  <c r="D4373"/>
  <c r="C4373"/>
  <c r="D4380"/>
  <c r="C4380"/>
  <c r="D4402"/>
  <c r="C4402"/>
  <c r="D4365"/>
  <c r="C4365"/>
  <c r="D4379"/>
  <c r="C4379"/>
  <c r="D4447"/>
  <c r="C4447"/>
  <c r="D4516"/>
  <c r="C4516"/>
  <c r="D4567"/>
  <c r="C4567"/>
  <c r="D4377"/>
  <c r="C4377"/>
  <c r="D4407"/>
  <c r="C4407"/>
  <c r="D4419"/>
  <c r="C4419"/>
  <c r="D4428"/>
  <c r="C4428"/>
  <c r="D4490"/>
  <c r="C4490"/>
  <c r="D4461"/>
  <c r="C4461"/>
  <c r="D4566"/>
  <c r="C4566"/>
  <c r="D4489"/>
  <c r="C4489"/>
  <c r="D4504"/>
  <c r="C4504"/>
  <c r="D4417"/>
  <c r="C4417"/>
  <c r="D4530"/>
  <c r="C4530"/>
  <c r="D4505"/>
  <c r="C4505"/>
  <c r="D4526"/>
  <c r="C4526"/>
  <c r="D4508"/>
  <c r="C4508"/>
  <c r="D4359"/>
  <c r="C4359"/>
  <c r="D4482"/>
  <c r="C4482"/>
  <c r="D4495"/>
  <c r="C4495"/>
  <c r="D4565"/>
  <c r="C4565"/>
  <c r="D4501"/>
  <c r="C4501"/>
  <c r="D4408"/>
  <c r="C4408"/>
  <c r="D4564"/>
  <c r="C4564"/>
  <c r="D4499"/>
  <c r="C4499"/>
  <c r="D4415"/>
  <c r="C4415"/>
  <c r="D4563"/>
  <c r="C4563"/>
  <c r="D4562"/>
  <c r="C4562"/>
  <c r="D4493"/>
  <c r="C4493"/>
  <c r="D4561"/>
  <c r="C4561"/>
  <c r="D4560"/>
  <c r="C4560"/>
  <c r="D4513"/>
  <c r="C4513"/>
  <c r="D4559"/>
  <c r="C4559"/>
  <c r="D4558"/>
  <c r="C4558"/>
  <c r="D4524"/>
  <c r="C4524"/>
  <c r="D4492"/>
  <c r="C4492"/>
  <c r="D4393"/>
  <c r="C4393"/>
  <c r="D4557"/>
  <c r="C4557"/>
  <c r="D4556"/>
  <c r="C4556"/>
  <c r="D4384"/>
  <c r="C4384"/>
  <c r="D4555"/>
  <c r="C4555"/>
  <c r="D4500"/>
  <c r="C4500"/>
  <c r="D4554"/>
  <c r="C4554"/>
  <c r="D4470"/>
  <c r="C4470"/>
  <c r="D4521"/>
  <c r="C4521"/>
  <c r="D4553"/>
  <c r="C4553"/>
  <c r="D4552"/>
  <c r="C4552"/>
  <c r="D4512"/>
  <c r="C4512"/>
  <c r="D4551"/>
  <c r="C4551"/>
  <c r="D4424"/>
  <c r="C4424"/>
  <c r="D4550"/>
  <c r="C4550"/>
  <c r="D4414"/>
  <c r="C4414"/>
  <c r="D4502"/>
  <c r="C4502"/>
  <c r="D4491"/>
  <c r="C4491"/>
  <c r="D4549"/>
  <c r="C4549"/>
  <c r="D4442"/>
  <c r="C4442"/>
  <c r="D4409"/>
  <c r="C4409"/>
  <c r="D4548"/>
  <c r="C4548"/>
  <c r="D4547"/>
  <c r="C4547"/>
  <c r="D4464"/>
  <c r="C4464"/>
  <c r="D4546"/>
  <c r="C4546"/>
  <c r="D4446"/>
  <c r="C4446"/>
  <c r="D4368"/>
  <c r="C4368"/>
  <c r="D4545"/>
  <c r="C4545"/>
  <c r="D4533"/>
  <c r="C4533"/>
  <c r="D4525"/>
  <c r="C4525"/>
  <c r="D4481"/>
  <c r="C4481"/>
  <c r="D4486"/>
  <c r="C4486"/>
  <c r="D4433"/>
  <c r="C4433"/>
  <c r="D4544"/>
  <c r="C4544"/>
  <c r="D4523"/>
  <c r="C4523"/>
  <c r="D4487"/>
  <c r="C4487"/>
  <c r="D4462"/>
  <c r="C4462"/>
  <c r="D4455"/>
  <c r="C4455"/>
  <c r="D4403"/>
  <c r="C4403"/>
  <c r="D4391"/>
  <c r="C4391"/>
  <c r="D4425"/>
  <c r="C4425"/>
  <c r="D4422"/>
  <c r="C4422"/>
  <c r="D4527"/>
  <c r="C4527"/>
  <c r="D4476"/>
  <c r="C4476"/>
  <c r="D4412"/>
  <c r="C4412"/>
  <c r="D4448"/>
  <c r="C4448"/>
  <c r="D4496"/>
  <c r="C4496"/>
  <c r="D4498"/>
  <c r="C4498"/>
  <c r="D4543"/>
  <c r="C4543"/>
  <c r="D4385"/>
  <c r="C4385"/>
  <c r="D4542"/>
  <c r="C4542"/>
  <c r="D4471"/>
  <c r="C4471"/>
  <c r="D4401"/>
  <c r="C4401"/>
  <c r="D4541"/>
  <c r="C4541"/>
  <c r="D4361"/>
  <c r="C4361"/>
  <c r="D4435"/>
  <c r="C4435"/>
  <c r="D4477"/>
  <c r="C4477"/>
  <c r="D4540"/>
  <c r="C4540"/>
  <c r="D4535"/>
  <c r="C4535"/>
  <c r="D4539"/>
  <c r="C4539"/>
  <c r="D4406"/>
  <c r="C4406"/>
  <c r="D4538"/>
  <c r="C4538"/>
  <c r="D4367"/>
  <c r="C4367"/>
  <c r="D4430"/>
  <c r="C4430"/>
  <c r="D4519"/>
  <c r="C4519"/>
  <c r="D4371"/>
  <c r="C4371"/>
  <c r="D4480"/>
  <c r="C4480"/>
  <c r="D4537"/>
  <c r="C4537"/>
  <c r="D4536"/>
  <c r="C4536"/>
  <c r="D4374"/>
  <c r="C4374"/>
  <c r="D4244"/>
  <c r="C4244"/>
  <c r="D4222"/>
  <c r="C4222"/>
  <c r="D4261"/>
  <c r="C4261"/>
  <c r="D4357"/>
  <c r="C4357"/>
  <c r="D4294"/>
  <c r="C4294"/>
  <c r="D4356"/>
  <c r="C4356"/>
  <c r="D4292"/>
  <c r="C4292"/>
  <c r="D4232"/>
  <c r="C4232"/>
  <c r="D4316"/>
  <c r="C4316"/>
  <c r="D4355"/>
  <c r="C4355"/>
  <c r="D4354"/>
  <c r="C4354"/>
  <c r="D4264"/>
  <c r="C4264"/>
  <c r="D4276"/>
  <c r="C4276"/>
  <c r="D4318"/>
  <c r="C4318"/>
  <c r="D4319"/>
  <c r="C4319"/>
  <c r="D4257"/>
  <c r="C4257"/>
  <c r="D4220"/>
  <c r="C4220"/>
  <c r="D4275"/>
  <c r="C4275"/>
  <c r="D4270"/>
  <c r="C4270"/>
  <c r="D4238"/>
  <c r="C4238"/>
  <c r="D4263"/>
  <c r="C4263"/>
  <c r="D4296"/>
  <c r="C4296"/>
  <c r="D4353"/>
  <c r="C4353"/>
  <c r="D4297"/>
  <c r="C4297"/>
  <c r="D4288"/>
  <c r="C4288"/>
  <c r="D4282"/>
  <c r="C4282"/>
  <c r="D4230"/>
  <c r="C4230"/>
  <c r="D4352"/>
  <c r="C4352"/>
  <c r="D4307"/>
  <c r="C4307"/>
  <c r="D4272"/>
  <c r="C4272"/>
  <c r="D4351"/>
  <c r="C4351"/>
  <c r="D4311"/>
  <c r="C4311"/>
  <c r="D4350"/>
  <c r="C4350"/>
  <c r="D4280"/>
  <c r="C4280"/>
  <c r="D4249"/>
  <c r="C4249"/>
  <c r="D4302"/>
  <c r="C4302"/>
  <c r="D4262"/>
  <c r="C4262"/>
  <c r="D4320"/>
  <c r="C4320"/>
  <c r="D4308"/>
  <c r="C4308"/>
  <c r="D4349"/>
  <c r="C4349"/>
  <c r="D4348"/>
  <c r="C4348"/>
  <c r="D4286"/>
  <c r="C4286"/>
  <c r="D4260"/>
  <c r="C4260"/>
  <c r="D4243"/>
  <c r="C4243"/>
  <c r="D4271"/>
  <c r="C4271"/>
  <c r="D4305"/>
  <c r="C4305"/>
  <c r="D4347"/>
  <c r="C4347"/>
  <c r="D4309"/>
  <c r="C4309"/>
  <c r="D4346"/>
  <c r="C4346"/>
  <c r="D4313"/>
  <c r="C4313"/>
  <c r="D4233"/>
  <c r="C4233"/>
  <c r="D4242"/>
  <c r="C4242"/>
  <c r="D4345"/>
  <c r="C4345"/>
  <c r="D4281"/>
  <c r="C4281"/>
  <c r="D4344"/>
  <c r="C4344"/>
  <c r="D4343"/>
  <c r="C4343"/>
  <c r="D4342"/>
  <c r="C4342"/>
  <c r="D4321"/>
  <c r="C4321"/>
  <c r="D4252"/>
  <c r="C4252"/>
  <c r="D4259"/>
  <c r="C4259"/>
  <c r="D4240"/>
  <c r="C4240"/>
  <c r="D4341"/>
  <c r="C4341"/>
  <c r="D4285"/>
  <c r="C4285"/>
  <c r="D4273"/>
  <c r="C4273"/>
  <c r="D4239"/>
  <c r="C4239"/>
  <c r="D4340"/>
  <c r="C4340"/>
  <c r="D4248"/>
  <c r="C4248"/>
  <c r="D4277"/>
  <c r="C4277"/>
  <c r="D4227"/>
  <c r="C4227"/>
  <c r="D4339"/>
  <c r="C4339"/>
  <c r="D4235"/>
  <c r="C4235"/>
  <c r="D4299"/>
  <c r="C4299"/>
  <c r="D4304"/>
  <c r="C4304"/>
  <c r="D4258"/>
  <c r="C4258"/>
  <c r="D4338"/>
  <c r="C4338"/>
  <c r="D4337"/>
  <c r="C4337"/>
  <c r="D4287"/>
  <c r="C4287"/>
  <c r="D4323"/>
  <c r="C4323"/>
  <c r="D4256"/>
  <c r="C4256"/>
  <c r="D4246"/>
  <c r="C4246"/>
  <c r="D4268"/>
  <c r="C4268"/>
  <c r="D4336"/>
  <c r="C4336"/>
  <c r="D4279"/>
  <c r="C4279"/>
  <c r="D4278"/>
  <c r="C4278"/>
  <c r="D4335"/>
  <c r="C4335"/>
  <c r="D4322"/>
  <c r="C4322"/>
  <c r="D4334"/>
  <c r="C4334"/>
  <c r="D4245"/>
  <c r="C4245"/>
  <c r="D4291"/>
  <c r="C4291"/>
  <c r="D4251"/>
  <c r="C4251"/>
  <c r="D4234"/>
  <c r="C4234"/>
  <c r="D4306"/>
  <c r="C4306"/>
  <c r="D4303"/>
  <c r="C4303"/>
  <c r="D4333"/>
  <c r="C4333"/>
  <c r="D4255"/>
  <c r="C4255"/>
  <c r="D4224"/>
  <c r="C4224"/>
  <c r="D4332"/>
  <c r="C4332"/>
  <c r="D4331"/>
  <c r="C4331"/>
  <c r="D4293"/>
  <c r="C4293"/>
  <c r="D4290"/>
  <c r="C4290"/>
  <c r="D4301"/>
  <c r="C4301"/>
  <c r="D4221"/>
  <c r="C4221"/>
  <c r="D4283"/>
  <c r="C4283"/>
  <c r="D4228"/>
  <c r="C4228"/>
  <c r="D4250"/>
  <c r="C4250"/>
  <c r="D4330"/>
  <c r="C4330"/>
  <c r="D4324"/>
  <c r="C4324"/>
  <c r="D4284"/>
  <c r="C4284"/>
  <c r="D4329"/>
  <c r="C4329"/>
  <c r="D4247"/>
  <c r="C4247"/>
  <c r="D4269"/>
  <c r="C4269"/>
  <c r="D4237"/>
  <c r="C4237"/>
  <c r="D4253"/>
  <c r="C4253"/>
  <c r="D4289"/>
  <c r="C4289"/>
  <c r="D4274"/>
  <c r="C4274"/>
  <c r="D4326"/>
  <c r="C4326"/>
  <c r="D4312"/>
  <c r="C4312"/>
  <c r="D4231"/>
  <c r="C4231"/>
  <c r="D4328"/>
  <c r="C4328"/>
  <c r="D4266"/>
  <c r="C4266"/>
  <c r="D4265"/>
  <c r="C4265"/>
  <c r="D4241"/>
  <c r="C4241"/>
  <c r="D4325"/>
  <c r="C4325"/>
  <c r="D4327"/>
  <c r="C4327"/>
  <c r="D4314"/>
  <c r="C4314"/>
  <c r="D4298"/>
  <c r="C4298"/>
  <c r="D4229"/>
  <c r="C4229"/>
  <c r="D4295"/>
  <c r="C4295"/>
  <c r="D4226"/>
  <c r="C4226"/>
  <c r="D4236"/>
  <c r="C4236"/>
  <c r="D4267"/>
  <c r="C4267"/>
  <c r="D4317"/>
  <c r="C4317"/>
  <c r="D4223"/>
  <c r="C4223"/>
  <c r="D4225"/>
  <c r="C4225"/>
  <c r="D4310"/>
  <c r="C4310"/>
  <c r="D4300"/>
  <c r="C4300"/>
  <c r="D4254"/>
  <c r="C4254"/>
  <c r="D4315"/>
  <c r="C4315"/>
  <c r="D4116"/>
  <c r="C4116"/>
  <c r="D4072"/>
  <c r="C4072"/>
  <c r="D4219"/>
  <c r="C4219"/>
  <c r="D4218"/>
  <c r="C4218"/>
  <c r="D4097"/>
  <c r="C4097"/>
  <c r="D4081"/>
  <c r="C4081"/>
  <c r="D4125"/>
  <c r="C4125"/>
  <c r="D4119"/>
  <c r="C4119"/>
  <c r="D4091"/>
  <c r="C4091"/>
  <c r="D4109"/>
  <c r="C4109"/>
  <c r="D4217"/>
  <c r="C4217"/>
  <c r="D4138"/>
  <c r="C4138"/>
  <c r="D4132"/>
  <c r="C4132"/>
  <c r="D4094"/>
  <c r="C4094"/>
  <c r="D4163"/>
  <c r="C4163"/>
  <c r="D4216"/>
  <c r="C4216"/>
  <c r="D4215"/>
  <c r="C4215"/>
  <c r="D4099"/>
  <c r="C4099"/>
  <c r="D4155"/>
  <c r="C4155"/>
  <c r="D4092"/>
  <c r="C4092"/>
  <c r="D4135"/>
  <c r="C4135"/>
  <c r="D4146"/>
  <c r="C4146"/>
  <c r="D4086"/>
  <c r="C4086"/>
  <c r="D4067"/>
  <c r="C4067"/>
  <c r="D4214"/>
  <c r="C4214"/>
  <c r="D4160"/>
  <c r="C4160"/>
  <c r="D4213"/>
  <c r="C4213"/>
  <c r="D4212"/>
  <c r="C4212"/>
  <c r="D4085"/>
  <c r="C4085"/>
  <c r="D4071"/>
  <c r="C4071"/>
  <c r="D4124"/>
  <c r="C4124"/>
  <c r="D4079"/>
  <c r="C4079"/>
  <c r="D4130"/>
  <c r="C4130"/>
  <c r="D4083"/>
  <c r="C4083"/>
  <c r="D4140"/>
  <c r="C4140"/>
  <c r="D4172"/>
  <c r="C4172"/>
  <c r="D4211"/>
  <c r="C4211"/>
  <c r="D4162"/>
  <c r="C4162"/>
  <c r="D4210"/>
  <c r="C4210"/>
  <c r="D4149"/>
  <c r="C4149"/>
  <c r="D4112"/>
  <c r="C4112"/>
  <c r="D4209"/>
  <c r="C4209"/>
  <c r="D4208"/>
  <c r="C4208"/>
  <c r="D4207"/>
  <c r="C4207"/>
  <c r="D4077"/>
  <c r="C4077"/>
  <c r="D4206"/>
  <c r="C4206"/>
  <c r="D4134"/>
  <c r="C4134"/>
  <c r="D4205"/>
  <c r="C4205"/>
  <c r="D4129"/>
  <c r="C4129"/>
  <c r="D4148"/>
  <c r="C4148"/>
  <c r="D4145"/>
  <c r="C4145"/>
  <c r="D4126"/>
  <c r="C4126"/>
  <c r="D4204"/>
  <c r="C4204"/>
  <c r="D4123"/>
  <c r="C4123"/>
  <c r="D4151"/>
  <c r="C4151"/>
  <c r="D4203"/>
  <c r="C4203"/>
  <c r="D4075"/>
  <c r="C4075"/>
  <c r="D4084"/>
  <c r="C4084"/>
  <c r="D4139"/>
  <c r="C4139"/>
  <c r="D4202"/>
  <c r="C4202"/>
  <c r="D4087"/>
  <c r="C4087"/>
  <c r="D4131"/>
  <c r="C4131"/>
  <c r="D4201"/>
  <c r="C4201"/>
  <c r="D4156"/>
  <c r="C4156"/>
  <c r="D4127"/>
  <c r="C4127"/>
  <c r="D4200"/>
  <c r="C4200"/>
  <c r="D4113"/>
  <c r="C4113"/>
  <c r="D4169"/>
  <c r="C4169"/>
  <c r="D4199"/>
  <c r="C4199"/>
  <c r="D4198"/>
  <c r="C4198"/>
  <c r="D4111"/>
  <c r="C4111"/>
  <c r="D4090"/>
  <c r="C4090"/>
  <c r="D4096"/>
  <c r="C4096"/>
  <c r="D4197"/>
  <c r="C4197"/>
  <c r="D4196"/>
  <c r="C4196"/>
  <c r="D4115"/>
  <c r="C4115"/>
  <c r="D4107"/>
  <c r="C4107"/>
  <c r="D4195"/>
  <c r="C4195"/>
  <c r="D4143"/>
  <c r="C4143"/>
  <c r="D4194"/>
  <c r="C4194"/>
  <c r="D4193"/>
  <c r="C4193"/>
  <c r="D4082"/>
  <c r="C4082"/>
  <c r="D4078"/>
  <c r="C4078"/>
  <c r="D4066"/>
  <c r="C4066"/>
  <c r="D4192"/>
  <c r="C4192"/>
  <c r="D4191"/>
  <c r="C4191"/>
  <c r="D4147"/>
  <c r="C4147"/>
  <c r="D4170"/>
  <c r="C4170"/>
  <c r="D4153"/>
  <c r="C4153"/>
  <c r="D4190"/>
  <c r="C4190"/>
  <c r="D4093"/>
  <c r="C4093"/>
  <c r="D4120"/>
  <c r="C4120"/>
  <c r="D4157"/>
  <c r="C4157"/>
  <c r="D4137"/>
  <c r="C4137"/>
  <c r="D4070"/>
  <c r="C4070"/>
  <c r="D4189"/>
  <c r="C4189"/>
  <c r="D4080"/>
  <c r="C4080"/>
  <c r="D4188"/>
  <c r="C4188"/>
  <c r="D4076"/>
  <c r="C4076"/>
  <c r="D4187"/>
  <c r="C4187"/>
  <c r="D4164"/>
  <c r="C4164"/>
  <c r="D4167"/>
  <c r="C4167"/>
  <c r="D4108"/>
  <c r="C4108"/>
  <c r="D4074"/>
  <c r="C4074"/>
  <c r="D4186"/>
  <c r="C4186"/>
  <c r="D4165"/>
  <c r="C4165"/>
  <c r="D4185"/>
  <c r="C4185"/>
  <c r="D4106"/>
  <c r="C4106"/>
  <c r="D4154"/>
  <c r="C4154"/>
  <c r="D4184"/>
  <c r="C4184"/>
  <c r="D4168"/>
  <c r="C4168"/>
  <c r="D4101"/>
  <c r="C4101"/>
  <c r="D4102"/>
  <c r="C4102"/>
  <c r="D4141"/>
  <c r="C4141"/>
  <c r="D4133"/>
  <c r="C4133"/>
  <c r="D4159"/>
  <c r="C4159"/>
  <c r="D4183"/>
  <c r="C4183"/>
  <c r="D4182"/>
  <c r="C4182"/>
  <c r="D4122"/>
  <c r="C4122"/>
  <c r="D4181"/>
  <c r="C4181"/>
  <c r="D4180"/>
  <c r="C4180"/>
  <c r="D4103"/>
  <c r="C4103"/>
  <c r="D4179"/>
  <c r="C4179"/>
  <c r="D4150"/>
  <c r="C4150"/>
  <c r="D4073"/>
  <c r="C4073"/>
  <c r="D4128"/>
  <c r="C4128"/>
  <c r="D4068"/>
  <c r="C4068"/>
  <c r="D4178"/>
  <c r="C4178"/>
  <c r="D4142"/>
  <c r="C4142"/>
  <c r="D4177"/>
  <c r="C4177"/>
  <c r="D4100"/>
  <c r="C4100"/>
  <c r="D4114"/>
  <c r="C4114"/>
  <c r="D4166"/>
  <c r="C4166"/>
  <c r="D4171"/>
  <c r="C4171"/>
  <c r="D4089"/>
  <c r="C4089"/>
  <c r="D4144"/>
  <c r="C4144"/>
  <c r="D4121"/>
  <c r="C4121"/>
  <c r="D4118"/>
  <c r="C4118"/>
  <c r="D4158"/>
  <c r="C4158"/>
  <c r="D4176"/>
  <c r="C4176"/>
  <c r="D4098"/>
  <c r="C4098"/>
  <c r="D4175"/>
  <c r="C4175"/>
  <c r="D4136"/>
  <c r="C4136"/>
  <c r="D4174"/>
  <c r="C4174"/>
  <c r="D4110"/>
  <c r="C4110"/>
  <c r="D4095"/>
  <c r="C4095"/>
  <c r="D4088"/>
  <c r="C4088"/>
  <c r="D4161"/>
  <c r="C4161"/>
  <c r="D4105"/>
  <c r="C4105"/>
  <c r="D4069"/>
  <c r="C4069"/>
  <c r="D4104"/>
  <c r="C4104"/>
  <c r="D4173"/>
  <c r="C4173"/>
  <c r="D4117"/>
  <c r="C4117"/>
  <c r="D4152"/>
  <c r="C4152"/>
  <c r="D3804"/>
  <c r="C3804"/>
  <c r="D4065"/>
  <c r="C4065"/>
  <c r="D3808"/>
  <c r="C3808"/>
  <c r="D3868"/>
  <c r="C3868"/>
  <c r="D3954"/>
  <c r="C3954"/>
  <c r="D4064"/>
  <c r="C4064"/>
  <c r="D3929"/>
  <c r="C3929"/>
  <c r="D3859"/>
  <c r="C3859"/>
  <c r="D4063"/>
  <c r="C4063"/>
  <c r="D4062"/>
  <c r="C4062"/>
  <c r="D3807"/>
  <c r="C3807"/>
  <c r="D4061"/>
  <c r="C4061"/>
  <c r="D3891"/>
  <c r="C3891"/>
  <c r="D3861"/>
  <c r="C3861"/>
  <c r="D3873"/>
  <c r="C3873"/>
  <c r="D3901"/>
  <c r="C3901"/>
  <c r="D3910"/>
  <c r="C3910"/>
  <c r="D4060"/>
  <c r="C4060"/>
  <c r="D4059"/>
  <c r="C4059"/>
  <c r="D3882"/>
  <c r="C3882"/>
  <c r="D4058"/>
  <c r="C4058"/>
  <c r="D3920"/>
  <c r="C3920"/>
  <c r="D3939"/>
  <c r="C3939"/>
  <c r="D4057"/>
  <c r="C4057"/>
  <c r="D3854"/>
  <c r="C3854"/>
  <c r="D3899"/>
  <c r="C3899"/>
  <c r="D3883"/>
  <c r="C3883"/>
  <c r="D4056"/>
  <c r="C4056"/>
  <c r="D3926"/>
  <c r="C3926"/>
  <c r="D3903"/>
  <c r="C3903"/>
  <c r="D4055"/>
  <c r="C4055"/>
  <c r="D3815"/>
  <c r="C3815"/>
  <c r="D3947"/>
  <c r="C3947"/>
  <c r="D3919"/>
  <c r="C3919"/>
  <c r="D3870"/>
  <c r="C3870"/>
  <c r="D3843"/>
  <c r="C3843"/>
  <c r="D4054"/>
  <c r="C4054"/>
  <c r="D3845"/>
  <c r="C3845"/>
  <c r="D4053"/>
  <c r="C4053"/>
  <c r="D3962"/>
  <c r="C3962"/>
  <c r="D3842"/>
  <c r="C3842"/>
  <c r="D3814"/>
  <c r="C3814"/>
  <c r="D3942"/>
  <c r="C3942"/>
  <c r="D3961"/>
  <c r="C3961"/>
  <c r="D4052"/>
  <c r="C4052"/>
  <c r="D4051"/>
  <c r="C4051"/>
  <c r="D4050"/>
  <c r="C4050"/>
  <c r="D3851"/>
  <c r="C3851"/>
  <c r="D3906"/>
  <c r="C3906"/>
  <c r="D3787"/>
  <c r="C3787"/>
  <c r="D3773"/>
  <c r="C3773"/>
  <c r="D4049"/>
  <c r="C4049"/>
  <c r="D3930"/>
  <c r="C3930"/>
  <c r="D3879"/>
  <c r="C3879"/>
  <c r="D3880"/>
  <c r="C3880"/>
  <c r="D3977"/>
  <c r="C3977"/>
  <c r="D3890"/>
  <c r="C3890"/>
  <c r="D3963"/>
  <c r="C3963"/>
  <c r="D4048"/>
  <c r="C4048"/>
  <c r="D3779"/>
  <c r="C3779"/>
  <c r="D3817"/>
  <c r="C3817"/>
  <c r="D3801"/>
  <c r="C3801"/>
  <c r="D3909"/>
  <c r="C3909"/>
  <c r="D3949"/>
  <c r="C3949"/>
  <c r="D4047"/>
  <c r="C4047"/>
  <c r="D4046"/>
  <c r="C4046"/>
  <c r="D3824"/>
  <c r="C3824"/>
  <c r="D4045"/>
  <c r="C4045"/>
  <c r="D4044"/>
  <c r="C4044"/>
  <c r="D4043"/>
  <c r="C4043"/>
  <c r="D3897"/>
  <c r="C3897"/>
  <c r="D4042"/>
  <c r="C4042"/>
  <c r="D4041"/>
  <c r="C4041"/>
  <c r="D3827"/>
  <c r="C3827"/>
  <c r="D3848"/>
  <c r="C3848"/>
  <c r="D4040"/>
  <c r="C4040"/>
  <c r="D3816"/>
  <c r="C3816"/>
  <c r="D3782"/>
  <c r="C3782"/>
  <c r="D3902"/>
  <c r="C3902"/>
  <c r="D3819"/>
  <c r="C3819"/>
  <c r="D3938"/>
  <c r="C3938"/>
  <c r="D3800"/>
  <c r="C3800"/>
  <c r="D4039"/>
  <c r="C4039"/>
  <c r="D3941"/>
  <c r="C3941"/>
  <c r="D3974"/>
  <c r="C3974"/>
  <c r="D3803"/>
  <c r="C3803"/>
  <c r="D4038"/>
  <c r="C4038"/>
  <c r="D3912"/>
  <c r="C3912"/>
  <c r="D3952"/>
  <c r="C3952"/>
  <c r="D3959"/>
  <c r="C3959"/>
  <c r="D3886"/>
  <c r="C3886"/>
  <c r="D3774"/>
  <c r="C3774"/>
  <c r="D3940"/>
  <c r="C3940"/>
  <c r="D3956"/>
  <c r="C3956"/>
  <c r="D3796"/>
  <c r="C3796"/>
  <c r="D3928"/>
  <c r="C3928"/>
  <c r="D4037"/>
  <c r="C4037"/>
  <c r="D3780"/>
  <c r="C3780"/>
  <c r="D3976"/>
  <c r="C3976"/>
  <c r="D3789"/>
  <c r="C3789"/>
  <c r="D3969"/>
  <c r="C3969"/>
  <c r="D3809"/>
  <c r="C3809"/>
  <c r="D3840"/>
  <c r="C3840"/>
  <c r="D3836"/>
  <c r="C3836"/>
  <c r="D3955"/>
  <c r="C3955"/>
  <c r="D3964"/>
  <c r="C3964"/>
  <c r="D4036"/>
  <c r="C4036"/>
  <c r="D3943"/>
  <c r="C3943"/>
  <c r="D3960"/>
  <c r="C3960"/>
  <c r="D3828"/>
  <c r="C3828"/>
  <c r="D3967"/>
  <c r="C3967"/>
  <c r="D3927"/>
  <c r="C3927"/>
  <c r="D3970"/>
  <c r="C3970"/>
  <c r="D4035"/>
  <c r="C4035"/>
  <c r="D3877"/>
  <c r="C3877"/>
  <c r="D3794"/>
  <c r="C3794"/>
  <c r="D3905"/>
  <c r="C3905"/>
  <c r="D3832"/>
  <c r="C3832"/>
  <c r="D3853"/>
  <c r="C3853"/>
  <c r="D3945"/>
  <c r="C3945"/>
  <c r="D3915"/>
  <c r="C3915"/>
  <c r="D4034"/>
  <c r="C4034"/>
  <c r="D3863"/>
  <c r="C3863"/>
  <c r="D3867"/>
  <c r="C3867"/>
  <c r="D4033"/>
  <c r="C4033"/>
  <c r="D3798"/>
  <c r="C3798"/>
  <c r="D3784"/>
  <c r="C3784"/>
  <c r="D3792"/>
  <c r="C3792"/>
  <c r="D3866"/>
  <c r="C3866"/>
  <c r="D3876"/>
  <c r="C3876"/>
  <c r="D3975"/>
  <c r="C3975"/>
  <c r="D3839"/>
  <c r="C3839"/>
  <c r="D3838"/>
  <c r="C3838"/>
  <c r="D3847"/>
  <c r="C3847"/>
  <c r="D3922"/>
  <c r="C3922"/>
  <c r="D4032"/>
  <c r="C4032"/>
  <c r="D3972"/>
  <c r="C3972"/>
  <c r="D4031"/>
  <c r="C4031"/>
  <c r="D3788"/>
  <c r="C3788"/>
  <c r="D3936"/>
  <c r="C3936"/>
  <c r="D4030"/>
  <c r="C4030"/>
  <c r="D4029"/>
  <c r="C4029"/>
  <c r="D4028"/>
  <c r="C4028"/>
  <c r="D3951"/>
  <c r="C3951"/>
  <c r="D3971"/>
  <c r="C3971"/>
  <c r="D3849"/>
  <c r="C3849"/>
  <c r="D3805"/>
  <c r="C3805"/>
  <c r="D4027"/>
  <c r="C4027"/>
  <c r="D3799"/>
  <c r="C3799"/>
  <c r="D3948"/>
  <c r="C3948"/>
  <c r="D3811"/>
  <c r="C3811"/>
  <c r="D3958"/>
  <c r="C3958"/>
  <c r="D4026"/>
  <c r="C4026"/>
  <c r="D3889"/>
  <c r="C3889"/>
  <c r="D4025"/>
  <c r="C4025"/>
  <c r="D3865"/>
  <c r="C3865"/>
  <c r="D3810"/>
  <c r="C3810"/>
  <c r="D4024"/>
  <c r="C4024"/>
  <c r="D3918"/>
  <c r="C3918"/>
  <c r="D3895"/>
  <c r="C3895"/>
  <c r="D3860"/>
  <c r="C3860"/>
  <c r="D4023"/>
  <c r="C4023"/>
  <c r="D3950"/>
  <c r="C3950"/>
  <c r="D4022"/>
  <c r="C4022"/>
  <c r="D3834"/>
  <c r="C3834"/>
  <c r="D4021"/>
  <c r="C4021"/>
  <c r="D4020"/>
  <c r="C4020"/>
  <c r="D4019"/>
  <c r="C4019"/>
  <c r="D4018"/>
  <c r="C4018"/>
  <c r="D3923"/>
  <c r="C3923"/>
  <c r="D3973"/>
  <c r="C3973"/>
  <c r="D3916"/>
  <c r="C3916"/>
  <c r="D4017"/>
  <c r="C4017"/>
  <c r="D4016"/>
  <c r="C4016"/>
  <c r="D4015"/>
  <c r="C4015"/>
  <c r="D3826"/>
  <c r="C3826"/>
  <c r="D3829"/>
  <c r="C3829"/>
  <c r="D3957"/>
  <c r="C3957"/>
  <c r="D3783"/>
  <c r="C3783"/>
  <c r="D3797"/>
  <c r="C3797"/>
  <c r="D4014"/>
  <c r="C4014"/>
  <c r="D3944"/>
  <c r="C3944"/>
  <c r="D3776"/>
  <c r="C3776"/>
  <c r="D3818"/>
  <c r="C3818"/>
  <c r="D3888"/>
  <c r="C3888"/>
  <c r="D3907"/>
  <c r="C3907"/>
  <c r="D4013"/>
  <c r="C4013"/>
  <c r="D3846"/>
  <c r="C3846"/>
  <c r="D3795"/>
  <c r="C3795"/>
  <c r="D3821"/>
  <c r="C3821"/>
  <c r="D3831"/>
  <c r="C3831"/>
  <c r="D4012"/>
  <c r="C4012"/>
  <c r="D3884"/>
  <c r="C3884"/>
  <c r="D3933"/>
  <c r="C3933"/>
  <c r="D4011"/>
  <c r="C4011"/>
  <c r="D4010"/>
  <c r="C4010"/>
  <c r="D3932"/>
  <c r="C3932"/>
  <c r="D3793"/>
  <c r="C3793"/>
  <c r="D4009"/>
  <c r="C4009"/>
  <c r="D3772"/>
  <c r="C3772"/>
  <c r="D3869"/>
  <c r="C3869"/>
  <c r="D3812"/>
  <c r="C3812"/>
  <c r="D3857"/>
  <c r="C3857"/>
  <c r="D3802"/>
  <c r="C3802"/>
  <c r="D4008"/>
  <c r="C4008"/>
  <c r="D3786"/>
  <c r="C3786"/>
  <c r="D3778"/>
  <c r="C3778"/>
  <c r="D4007"/>
  <c r="C4007"/>
  <c r="D4006"/>
  <c r="C4006"/>
  <c r="D3898"/>
  <c r="C3898"/>
  <c r="D3968"/>
  <c r="C3968"/>
  <c r="D4005"/>
  <c r="C4005"/>
  <c r="D4004"/>
  <c r="C4004"/>
  <c r="D3874"/>
  <c r="C3874"/>
  <c r="D3770"/>
  <c r="C3770"/>
  <c r="D4003"/>
  <c r="C4003"/>
  <c r="D4002"/>
  <c r="C4002"/>
  <c r="D3946"/>
  <c r="C3946"/>
  <c r="D3871"/>
  <c r="C3871"/>
  <c r="D4001"/>
  <c r="C4001"/>
  <c r="D3852"/>
  <c r="C3852"/>
  <c r="D3830"/>
  <c r="C3830"/>
  <c r="D3934"/>
  <c r="C3934"/>
  <c r="D3841"/>
  <c r="C3841"/>
  <c r="D3785"/>
  <c r="C3785"/>
  <c r="D3885"/>
  <c r="C3885"/>
  <c r="D3791"/>
  <c r="C3791"/>
  <c r="D3835"/>
  <c r="C3835"/>
  <c r="D3850"/>
  <c r="C3850"/>
  <c r="D3881"/>
  <c r="C3881"/>
  <c r="D3894"/>
  <c r="C3894"/>
  <c r="D3908"/>
  <c r="C3908"/>
  <c r="D3823"/>
  <c r="C3823"/>
  <c r="D3820"/>
  <c r="C3820"/>
  <c r="D3833"/>
  <c r="C3833"/>
  <c r="D4000"/>
  <c r="C4000"/>
  <c r="D3858"/>
  <c r="C3858"/>
  <c r="D3844"/>
  <c r="C3844"/>
  <c r="D3825"/>
  <c r="C3825"/>
  <c r="D3999"/>
  <c r="C3999"/>
  <c r="D3896"/>
  <c r="C3896"/>
  <c r="D3966"/>
  <c r="C3966"/>
  <c r="D3924"/>
  <c r="C3924"/>
  <c r="D3965"/>
  <c r="C3965"/>
  <c r="D3998"/>
  <c r="C3998"/>
  <c r="D3997"/>
  <c r="C3997"/>
  <c r="D3996"/>
  <c r="C3996"/>
  <c r="D3995"/>
  <c r="C3995"/>
  <c r="D3994"/>
  <c r="C3994"/>
  <c r="D3993"/>
  <c r="C3993"/>
  <c r="D3872"/>
  <c r="C3872"/>
  <c r="D3822"/>
  <c r="C3822"/>
  <c r="D3855"/>
  <c r="C3855"/>
  <c r="D3917"/>
  <c r="C3917"/>
  <c r="D3893"/>
  <c r="C3893"/>
  <c r="D3992"/>
  <c r="C3992"/>
  <c r="D3856"/>
  <c r="C3856"/>
  <c r="D3991"/>
  <c r="C3991"/>
  <c r="D3953"/>
  <c r="C3953"/>
  <c r="D3837"/>
  <c r="C3837"/>
  <c r="D3990"/>
  <c r="C3990"/>
  <c r="D3989"/>
  <c r="C3989"/>
  <c r="D3777"/>
  <c r="C3777"/>
  <c r="D3935"/>
  <c r="C3935"/>
  <c r="D3806"/>
  <c r="C3806"/>
  <c r="D3988"/>
  <c r="C3988"/>
  <c r="D3864"/>
  <c r="C3864"/>
  <c r="D3887"/>
  <c r="C3887"/>
  <c r="D3813"/>
  <c r="C3813"/>
  <c r="D3987"/>
  <c r="C3987"/>
  <c r="D3986"/>
  <c r="C3986"/>
  <c r="D3913"/>
  <c r="C3913"/>
  <c r="D3790"/>
  <c r="C3790"/>
  <c r="D3892"/>
  <c r="C3892"/>
  <c r="D3925"/>
  <c r="C3925"/>
  <c r="D3771"/>
  <c r="C3771"/>
  <c r="D3911"/>
  <c r="C3911"/>
  <c r="D3985"/>
  <c r="C3985"/>
  <c r="D3984"/>
  <c r="C3984"/>
  <c r="D3921"/>
  <c r="C3921"/>
  <c r="D3983"/>
  <c r="C3983"/>
  <c r="D3982"/>
  <c r="C3982"/>
  <c r="D3875"/>
  <c r="C3875"/>
  <c r="D3914"/>
  <c r="C3914"/>
  <c r="D3981"/>
  <c r="C3981"/>
  <c r="D3878"/>
  <c r="C3878"/>
  <c r="D3937"/>
  <c r="C3937"/>
  <c r="D3862"/>
  <c r="C3862"/>
  <c r="D3980"/>
  <c r="C3980"/>
  <c r="D3775"/>
  <c r="C3775"/>
  <c r="D3979"/>
  <c r="C3979"/>
  <c r="D3900"/>
  <c r="C3900"/>
  <c r="D3781"/>
  <c r="C3781"/>
  <c r="D3904"/>
  <c r="C3904"/>
  <c r="D3931"/>
  <c r="C3931"/>
  <c r="D3978"/>
  <c r="C3978"/>
  <c r="D3718"/>
  <c r="C3718"/>
  <c r="D3717"/>
  <c r="C3717"/>
  <c r="D3621"/>
  <c r="C3621"/>
  <c r="D3716"/>
  <c r="C3716"/>
  <c r="D3675"/>
  <c r="C3675"/>
  <c r="D3616"/>
  <c r="C3616"/>
  <c r="D3715"/>
  <c r="C3715"/>
  <c r="D3714"/>
  <c r="C3714"/>
  <c r="D3582"/>
  <c r="C3582"/>
  <c r="D3653"/>
  <c r="C3653"/>
  <c r="D3713"/>
  <c r="C3713"/>
  <c r="D3589"/>
  <c r="C3589"/>
  <c r="D3632"/>
  <c r="C3632"/>
  <c r="D3641"/>
  <c r="C3641"/>
  <c r="D3712"/>
  <c r="C3712"/>
  <c r="D3660"/>
  <c r="C3660"/>
  <c r="D3561"/>
  <c r="C3561"/>
  <c r="D3711"/>
  <c r="C3711"/>
  <c r="D3585"/>
  <c r="C3585"/>
  <c r="D3710"/>
  <c r="C3710"/>
  <c r="D3600"/>
  <c r="C3600"/>
  <c r="D3571"/>
  <c r="C3571"/>
  <c r="D3709"/>
  <c r="C3709"/>
  <c r="D3659"/>
  <c r="C3659"/>
  <c r="D3672"/>
  <c r="C3672"/>
  <c r="D3661"/>
  <c r="C3661"/>
  <c r="D3599"/>
  <c r="C3599"/>
  <c r="D3612"/>
  <c r="C3612"/>
  <c r="D3664"/>
  <c r="C3664"/>
  <c r="D3667"/>
  <c r="C3667"/>
  <c r="D3623"/>
  <c r="C3623"/>
  <c r="D3565"/>
  <c r="C3565"/>
  <c r="D3564"/>
  <c r="C3564"/>
  <c r="D3652"/>
  <c r="C3652"/>
  <c r="D3630"/>
  <c r="C3630"/>
  <c r="D3618"/>
  <c r="C3618"/>
  <c r="D3708"/>
  <c r="C3708"/>
  <c r="D3577"/>
  <c r="C3577"/>
  <c r="D3562"/>
  <c r="C3562"/>
  <c r="D3608"/>
  <c r="C3608"/>
  <c r="D3624"/>
  <c r="C3624"/>
  <c r="D3673"/>
  <c r="C3673"/>
  <c r="D3631"/>
  <c r="C3631"/>
  <c r="D3707"/>
  <c r="C3707"/>
  <c r="D3596"/>
  <c r="C3596"/>
  <c r="D3638"/>
  <c r="C3638"/>
  <c r="D3581"/>
  <c r="C3581"/>
  <c r="D3620"/>
  <c r="C3620"/>
  <c r="D3706"/>
  <c r="C3706"/>
  <c r="D3626"/>
  <c r="C3626"/>
  <c r="D3705"/>
  <c r="C3705"/>
  <c r="D3609"/>
  <c r="C3609"/>
  <c r="D3591"/>
  <c r="C3591"/>
  <c r="D3704"/>
  <c r="C3704"/>
  <c r="D3703"/>
  <c r="C3703"/>
  <c r="D3629"/>
  <c r="C3629"/>
  <c r="D3617"/>
  <c r="C3617"/>
  <c r="D3702"/>
  <c r="C3702"/>
  <c r="D3598"/>
  <c r="C3598"/>
  <c r="D3578"/>
  <c r="C3578"/>
  <c r="D3654"/>
  <c r="C3654"/>
  <c r="D3645"/>
  <c r="C3645"/>
  <c r="D3701"/>
  <c r="C3701"/>
  <c r="D3700"/>
  <c r="C3700"/>
  <c r="D3699"/>
  <c r="C3699"/>
  <c r="D3615"/>
  <c r="C3615"/>
  <c r="D3698"/>
  <c r="C3698"/>
  <c r="D3697"/>
  <c r="C3697"/>
  <c r="D3610"/>
  <c r="C3610"/>
  <c r="D3633"/>
  <c r="C3633"/>
  <c r="D3607"/>
  <c r="C3607"/>
  <c r="D3614"/>
  <c r="C3614"/>
  <c r="D3583"/>
  <c r="C3583"/>
  <c r="D3568"/>
  <c r="C3568"/>
  <c r="D3663"/>
  <c r="C3663"/>
  <c r="D3671"/>
  <c r="C3671"/>
  <c r="D3587"/>
  <c r="C3587"/>
  <c r="D3635"/>
  <c r="C3635"/>
  <c r="D3696"/>
  <c r="C3696"/>
  <c r="D3647"/>
  <c r="C3647"/>
  <c r="D3695"/>
  <c r="C3695"/>
  <c r="D3662"/>
  <c r="C3662"/>
  <c r="D3694"/>
  <c r="C3694"/>
  <c r="D3693"/>
  <c r="C3693"/>
  <c r="D3606"/>
  <c r="C3606"/>
  <c r="D3648"/>
  <c r="C3648"/>
  <c r="D3692"/>
  <c r="C3692"/>
  <c r="D3668"/>
  <c r="C3668"/>
  <c r="D3676"/>
  <c r="C3676"/>
  <c r="D3639"/>
  <c r="C3639"/>
  <c r="D3622"/>
  <c r="C3622"/>
  <c r="D3584"/>
  <c r="C3584"/>
  <c r="D3576"/>
  <c r="C3576"/>
  <c r="D3655"/>
  <c r="C3655"/>
  <c r="D3625"/>
  <c r="C3625"/>
  <c r="D3603"/>
  <c r="C3603"/>
  <c r="D3580"/>
  <c r="C3580"/>
  <c r="D3691"/>
  <c r="C3691"/>
  <c r="D3656"/>
  <c r="C3656"/>
  <c r="D3642"/>
  <c r="C3642"/>
  <c r="D3649"/>
  <c r="C3649"/>
  <c r="D3674"/>
  <c r="C3674"/>
  <c r="D3590"/>
  <c r="C3590"/>
  <c r="D3644"/>
  <c r="C3644"/>
  <c r="D3690"/>
  <c r="C3690"/>
  <c r="D3651"/>
  <c r="C3651"/>
  <c r="D3611"/>
  <c r="C3611"/>
  <c r="D3689"/>
  <c r="C3689"/>
  <c r="D3634"/>
  <c r="C3634"/>
  <c r="D3637"/>
  <c r="C3637"/>
  <c r="D3688"/>
  <c r="C3688"/>
  <c r="D3658"/>
  <c r="C3658"/>
  <c r="D3687"/>
  <c r="C3687"/>
  <c r="D3566"/>
  <c r="C3566"/>
  <c r="D3686"/>
  <c r="C3686"/>
  <c r="D3619"/>
  <c r="C3619"/>
  <c r="D3685"/>
  <c r="C3685"/>
  <c r="D3684"/>
  <c r="C3684"/>
  <c r="D3683"/>
  <c r="C3683"/>
  <c r="D3573"/>
  <c r="C3573"/>
  <c r="D3597"/>
  <c r="C3597"/>
  <c r="D3572"/>
  <c r="C3572"/>
  <c r="D3682"/>
  <c r="C3682"/>
  <c r="D3605"/>
  <c r="C3605"/>
  <c r="D3575"/>
  <c r="C3575"/>
  <c r="D3586"/>
  <c r="C3586"/>
  <c r="D3636"/>
  <c r="C3636"/>
  <c r="D3681"/>
  <c r="C3681"/>
  <c r="D3680"/>
  <c r="C3680"/>
  <c r="D3666"/>
  <c r="C3666"/>
  <c r="D3602"/>
  <c r="C3602"/>
  <c r="D3569"/>
  <c r="C3569"/>
  <c r="D3604"/>
  <c r="C3604"/>
  <c r="D3679"/>
  <c r="C3679"/>
  <c r="D3563"/>
  <c r="C3563"/>
  <c r="D3646"/>
  <c r="C3646"/>
  <c r="D3560"/>
  <c r="C3560"/>
  <c r="D3628"/>
  <c r="C3628"/>
  <c r="D3627"/>
  <c r="C3627"/>
  <c r="D3657"/>
  <c r="C3657"/>
  <c r="D3650"/>
  <c r="C3650"/>
  <c r="D3601"/>
  <c r="C3601"/>
  <c r="D3595"/>
  <c r="C3595"/>
  <c r="D3613"/>
  <c r="C3613"/>
  <c r="D3640"/>
  <c r="C3640"/>
  <c r="D3678"/>
  <c r="C3678"/>
  <c r="D3677"/>
  <c r="C3677"/>
  <c r="D3567"/>
  <c r="C3567"/>
  <c r="D3669"/>
  <c r="C3669"/>
  <c r="D3574"/>
  <c r="C3574"/>
  <c r="D3665"/>
  <c r="C3665"/>
  <c r="D3570"/>
  <c r="C3570"/>
  <c r="D3670"/>
  <c r="C3670"/>
  <c r="D3579"/>
  <c r="C3579"/>
  <c r="D3592"/>
  <c r="C3592"/>
  <c r="D3643"/>
  <c r="C3643"/>
  <c r="D3588"/>
  <c r="C3588"/>
  <c r="D3594"/>
  <c r="C3594"/>
  <c r="D3593"/>
  <c r="C3593"/>
  <c r="D3536"/>
  <c r="C3536"/>
  <c r="D3532"/>
  <c r="C3532"/>
  <c r="D3559"/>
  <c r="C3559"/>
  <c r="D3529"/>
  <c r="C3529"/>
  <c r="D3531"/>
  <c r="C3531"/>
  <c r="D3540"/>
  <c r="C3540"/>
  <c r="D3534"/>
  <c r="C3534"/>
  <c r="D3549"/>
  <c r="C3549"/>
  <c r="D3558"/>
  <c r="C3558"/>
  <c r="D3528"/>
  <c r="C3528"/>
  <c r="D3543"/>
  <c r="C3543"/>
  <c r="D3557"/>
  <c r="C3557"/>
  <c r="D3530"/>
  <c r="C3530"/>
  <c r="D3542"/>
  <c r="C3542"/>
  <c r="D3556"/>
  <c r="C3556"/>
  <c r="D3545"/>
  <c r="C3545"/>
  <c r="D3544"/>
  <c r="C3544"/>
  <c r="D3533"/>
  <c r="C3533"/>
  <c r="D3548"/>
  <c r="C3548"/>
  <c r="D3555"/>
  <c r="C3555"/>
  <c r="D3538"/>
  <c r="C3538"/>
  <c r="D3537"/>
  <c r="C3537"/>
  <c r="D3539"/>
  <c r="C3539"/>
  <c r="D3554"/>
  <c r="C3554"/>
  <c r="D3541"/>
  <c r="C3541"/>
  <c r="D3553"/>
  <c r="C3553"/>
  <c r="D3546"/>
  <c r="C3546"/>
  <c r="D3552"/>
  <c r="C3552"/>
  <c r="D3535"/>
  <c r="C3535"/>
  <c r="D3551"/>
  <c r="C3551"/>
  <c r="D3547"/>
  <c r="C3547"/>
  <c r="D3550"/>
  <c r="C3550"/>
  <c r="D3527"/>
  <c r="C3527"/>
  <c r="D3447"/>
  <c r="C3447"/>
  <c r="D3526"/>
  <c r="C3526"/>
  <c r="D3525"/>
  <c r="C3525"/>
  <c r="D3524"/>
  <c r="C3524"/>
  <c r="D3456"/>
  <c r="C3456"/>
  <c r="D3441"/>
  <c r="C3441"/>
  <c r="D3473"/>
  <c r="C3473"/>
  <c r="D3523"/>
  <c r="C3523"/>
  <c r="D3429"/>
  <c r="C3429"/>
  <c r="D3469"/>
  <c r="C3469"/>
  <c r="D3449"/>
  <c r="C3449"/>
  <c r="D3522"/>
  <c r="C3522"/>
  <c r="D3521"/>
  <c r="C3521"/>
  <c r="D3520"/>
  <c r="C3520"/>
  <c r="D3452"/>
  <c r="C3452"/>
  <c r="D3463"/>
  <c r="C3463"/>
  <c r="D3519"/>
  <c r="C3519"/>
  <c r="D3470"/>
  <c r="C3470"/>
  <c r="D3439"/>
  <c r="C3439"/>
  <c r="D3518"/>
  <c r="C3518"/>
  <c r="D3487"/>
  <c r="C3487"/>
  <c r="D3517"/>
  <c r="C3517"/>
  <c r="D3516"/>
  <c r="C3516"/>
  <c r="D3515"/>
  <c r="C3515"/>
  <c r="D3514"/>
  <c r="C3514"/>
  <c r="D3513"/>
  <c r="C3513"/>
  <c r="D3462"/>
  <c r="C3462"/>
  <c r="D3512"/>
  <c r="C3512"/>
  <c r="D3511"/>
  <c r="C3511"/>
  <c r="D3461"/>
  <c r="C3461"/>
  <c r="D3488"/>
  <c r="C3488"/>
  <c r="D3510"/>
  <c r="C3510"/>
  <c r="D3478"/>
  <c r="C3478"/>
  <c r="D3509"/>
  <c r="C3509"/>
  <c r="D3453"/>
  <c r="C3453"/>
  <c r="D3486"/>
  <c r="C3486"/>
  <c r="D3460"/>
  <c r="C3460"/>
  <c r="D3446"/>
  <c r="C3446"/>
  <c r="D3508"/>
  <c r="C3508"/>
  <c r="D3507"/>
  <c r="C3507"/>
  <c r="D3489"/>
  <c r="C3489"/>
  <c r="D3467"/>
  <c r="C3467"/>
  <c r="D3485"/>
  <c r="C3485"/>
  <c r="D3458"/>
  <c r="C3458"/>
  <c r="D3436"/>
  <c r="C3436"/>
  <c r="D3444"/>
  <c r="C3444"/>
  <c r="D3506"/>
  <c r="C3506"/>
  <c r="D3468"/>
  <c r="C3468"/>
  <c r="D3474"/>
  <c r="C3474"/>
  <c r="D3433"/>
  <c r="C3433"/>
  <c r="D3484"/>
  <c r="C3484"/>
  <c r="D3505"/>
  <c r="C3505"/>
  <c r="D3504"/>
  <c r="C3504"/>
  <c r="D3448"/>
  <c r="C3448"/>
  <c r="D3471"/>
  <c r="C3471"/>
  <c r="D3445"/>
  <c r="C3445"/>
  <c r="D3459"/>
  <c r="C3459"/>
  <c r="D3432"/>
  <c r="C3432"/>
  <c r="D3437"/>
  <c r="C3437"/>
  <c r="D3472"/>
  <c r="C3472"/>
  <c r="D3503"/>
  <c r="C3503"/>
  <c r="D3502"/>
  <c r="C3502"/>
  <c r="D3480"/>
  <c r="C3480"/>
  <c r="D3450"/>
  <c r="C3450"/>
  <c r="D3430"/>
  <c r="C3430"/>
  <c r="D3501"/>
  <c r="C3501"/>
  <c r="D3482"/>
  <c r="C3482"/>
  <c r="D3490"/>
  <c r="C3490"/>
  <c r="D3434"/>
  <c r="C3434"/>
  <c r="D3443"/>
  <c r="C3443"/>
  <c r="D3500"/>
  <c r="C3500"/>
  <c r="D3475"/>
  <c r="C3475"/>
  <c r="D3483"/>
  <c r="C3483"/>
  <c r="D3440"/>
  <c r="C3440"/>
  <c r="D3479"/>
  <c r="C3479"/>
  <c r="D3499"/>
  <c r="C3499"/>
  <c r="D3498"/>
  <c r="C3498"/>
  <c r="D3466"/>
  <c r="C3466"/>
  <c r="D3497"/>
  <c r="C3497"/>
  <c r="D3451"/>
  <c r="C3451"/>
  <c r="D3496"/>
  <c r="C3496"/>
  <c r="D3435"/>
  <c r="C3435"/>
  <c r="D3477"/>
  <c r="C3477"/>
  <c r="D3442"/>
  <c r="C3442"/>
  <c r="D3431"/>
  <c r="C3431"/>
  <c r="D3438"/>
  <c r="C3438"/>
  <c r="D3495"/>
  <c r="C3495"/>
  <c r="D3494"/>
  <c r="C3494"/>
  <c r="D3457"/>
  <c r="C3457"/>
  <c r="D3476"/>
  <c r="C3476"/>
  <c r="D3491"/>
  <c r="C3491"/>
  <c r="D3493"/>
  <c r="C3493"/>
  <c r="D3455"/>
  <c r="C3455"/>
  <c r="D3454"/>
  <c r="C3454"/>
  <c r="D3465"/>
  <c r="C3465"/>
  <c r="D3492"/>
  <c r="C3492"/>
  <c r="D3481"/>
  <c r="C3481"/>
  <c r="D3464"/>
  <c r="C3464"/>
  <c r="D3421"/>
  <c r="C3421"/>
  <c r="D3419"/>
  <c r="C3419"/>
  <c r="D3428"/>
  <c r="C3428"/>
  <c r="D3415"/>
  <c r="C3415"/>
  <c r="D3411"/>
  <c r="C3411"/>
  <c r="D3427"/>
  <c r="C3427"/>
  <c r="D3413"/>
  <c r="C3413"/>
  <c r="D3420"/>
  <c r="C3420"/>
  <c r="D3414"/>
  <c r="C3414"/>
  <c r="D3410"/>
  <c r="C3410"/>
  <c r="D3416"/>
  <c r="C3416"/>
  <c r="D3417"/>
  <c r="C3417"/>
  <c r="D3418"/>
  <c r="C3418"/>
  <c r="D3426"/>
  <c r="C3426"/>
  <c r="D3425"/>
  <c r="C3425"/>
  <c r="D3422"/>
  <c r="C3422"/>
  <c r="D3412"/>
  <c r="C3412"/>
  <c r="D3424"/>
  <c r="C3424"/>
  <c r="D3423"/>
  <c r="C3423"/>
  <c r="D3409"/>
  <c r="C3409"/>
  <c r="D3357"/>
  <c r="C3357"/>
  <c r="D3356"/>
  <c r="C3356"/>
  <c r="D3377"/>
  <c r="C3377"/>
  <c r="D3408"/>
  <c r="C3408"/>
  <c r="D3367"/>
  <c r="C3367"/>
  <c r="D3407"/>
  <c r="C3407"/>
  <c r="D3383"/>
  <c r="C3383"/>
  <c r="D3406"/>
  <c r="C3406"/>
  <c r="D3405"/>
  <c r="C3405"/>
  <c r="D3355"/>
  <c r="C3355"/>
  <c r="D3404"/>
  <c r="C3404"/>
  <c r="D3403"/>
  <c r="C3403"/>
  <c r="D3402"/>
  <c r="C3402"/>
  <c r="D3401"/>
  <c r="C3401"/>
  <c r="D3400"/>
  <c r="C3400"/>
  <c r="D3360"/>
  <c r="C3360"/>
  <c r="D3386"/>
  <c r="C3386"/>
  <c r="D3366"/>
  <c r="C3366"/>
  <c r="D3399"/>
  <c r="C3399"/>
  <c r="D3359"/>
  <c r="C3359"/>
  <c r="D3364"/>
  <c r="C3364"/>
  <c r="D3385"/>
  <c r="C3385"/>
  <c r="D3348"/>
  <c r="C3348"/>
  <c r="D3352"/>
  <c r="C3352"/>
  <c r="D3371"/>
  <c r="C3371"/>
  <c r="D3351"/>
  <c r="C3351"/>
  <c r="D3370"/>
  <c r="C3370"/>
  <c r="D3398"/>
  <c r="C3398"/>
  <c r="D3376"/>
  <c r="C3376"/>
  <c r="D3388"/>
  <c r="C3388"/>
  <c r="D3362"/>
  <c r="C3362"/>
  <c r="D3349"/>
  <c r="C3349"/>
  <c r="D3382"/>
  <c r="C3382"/>
  <c r="D3397"/>
  <c r="C3397"/>
  <c r="D3375"/>
  <c r="C3375"/>
  <c r="D3381"/>
  <c r="C3381"/>
  <c r="D3353"/>
  <c r="C3353"/>
  <c r="D3374"/>
  <c r="C3374"/>
  <c r="D3369"/>
  <c r="C3369"/>
  <c r="D3396"/>
  <c r="C3396"/>
  <c r="D3372"/>
  <c r="C3372"/>
  <c r="D3354"/>
  <c r="C3354"/>
  <c r="D3350"/>
  <c r="C3350"/>
  <c r="D3395"/>
  <c r="C3395"/>
  <c r="D3365"/>
  <c r="C3365"/>
  <c r="D3394"/>
  <c r="C3394"/>
  <c r="D3380"/>
  <c r="C3380"/>
  <c r="D3384"/>
  <c r="C3384"/>
  <c r="D3363"/>
  <c r="C3363"/>
  <c r="D3347"/>
  <c r="C3347"/>
  <c r="D3379"/>
  <c r="C3379"/>
  <c r="D3393"/>
  <c r="C3393"/>
  <c r="D3392"/>
  <c r="C3392"/>
  <c r="D3391"/>
  <c r="C3391"/>
  <c r="D3387"/>
  <c r="C3387"/>
  <c r="D3378"/>
  <c r="C3378"/>
  <c r="D3373"/>
  <c r="C3373"/>
  <c r="D3390"/>
  <c r="C3390"/>
  <c r="D3358"/>
  <c r="C3358"/>
  <c r="D3389"/>
  <c r="C3389"/>
  <c r="D3361"/>
  <c r="C3361"/>
  <c r="D3368"/>
  <c r="C3368"/>
  <c r="D3346"/>
  <c r="C3346"/>
  <c r="D3224"/>
  <c r="C3224"/>
  <c r="D3303"/>
  <c r="C3303"/>
  <c r="D3302"/>
  <c r="C3302"/>
  <c r="D3269"/>
  <c r="C3269"/>
  <c r="D3295"/>
  <c r="C3295"/>
  <c r="D3345"/>
  <c r="C3345"/>
  <c r="D3263"/>
  <c r="C3263"/>
  <c r="D3266"/>
  <c r="C3266"/>
  <c r="D3223"/>
  <c r="C3223"/>
  <c r="D3296"/>
  <c r="C3296"/>
  <c r="D3306"/>
  <c r="C3306"/>
  <c r="D3344"/>
  <c r="C3344"/>
  <c r="D3254"/>
  <c r="C3254"/>
  <c r="D3343"/>
  <c r="C3343"/>
  <c r="D3342"/>
  <c r="C3342"/>
  <c r="D3341"/>
  <c r="C3341"/>
  <c r="D3230"/>
  <c r="C3230"/>
  <c r="D3277"/>
  <c r="C3277"/>
  <c r="D3267"/>
  <c r="C3267"/>
  <c r="D3213"/>
  <c r="C3213"/>
  <c r="D3298"/>
  <c r="C3298"/>
  <c r="D3239"/>
  <c r="C3239"/>
  <c r="D3228"/>
  <c r="C3228"/>
  <c r="D3340"/>
  <c r="C3340"/>
  <c r="D3212"/>
  <c r="C3212"/>
  <c r="D3215"/>
  <c r="C3215"/>
  <c r="D3288"/>
  <c r="C3288"/>
  <c r="D3339"/>
  <c r="C3339"/>
  <c r="D3289"/>
  <c r="C3289"/>
  <c r="D3217"/>
  <c r="C3217"/>
  <c r="D3291"/>
  <c r="C3291"/>
  <c r="D3255"/>
  <c r="C3255"/>
  <c r="D3235"/>
  <c r="C3235"/>
  <c r="D3244"/>
  <c r="C3244"/>
  <c r="D3338"/>
  <c r="C3338"/>
  <c r="D3337"/>
  <c r="C3337"/>
  <c r="D3205"/>
  <c r="C3205"/>
  <c r="D3309"/>
  <c r="C3309"/>
  <c r="D3336"/>
  <c r="C3336"/>
  <c r="D3243"/>
  <c r="C3243"/>
  <c r="D3219"/>
  <c r="C3219"/>
  <c r="D3220"/>
  <c r="C3220"/>
  <c r="D3256"/>
  <c r="C3256"/>
  <c r="D3286"/>
  <c r="C3286"/>
  <c r="D3299"/>
  <c r="C3299"/>
  <c r="D3250"/>
  <c r="C3250"/>
  <c r="D3335"/>
  <c r="C3335"/>
  <c r="D3226"/>
  <c r="C3226"/>
  <c r="D3262"/>
  <c r="C3262"/>
  <c r="D3334"/>
  <c r="C3334"/>
  <c r="D3280"/>
  <c r="C3280"/>
  <c r="D3293"/>
  <c r="C3293"/>
  <c r="D3276"/>
  <c r="C3276"/>
  <c r="D3210"/>
  <c r="C3210"/>
  <c r="D3333"/>
  <c r="C3333"/>
  <c r="D3245"/>
  <c r="C3245"/>
  <c r="D3206"/>
  <c r="C3206"/>
  <c r="D3237"/>
  <c r="C3237"/>
  <c r="D3332"/>
  <c r="C3332"/>
  <c r="D3232"/>
  <c r="C3232"/>
  <c r="D3331"/>
  <c r="C3331"/>
  <c r="D3330"/>
  <c r="C3330"/>
  <c r="D3253"/>
  <c r="C3253"/>
  <c r="D3279"/>
  <c r="C3279"/>
  <c r="D3329"/>
  <c r="C3329"/>
  <c r="D3241"/>
  <c r="C3241"/>
  <c r="D3248"/>
  <c r="C3248"/>
  <c r="D3208"/>
  <c r="C3208"/>
  <c r="D3216"/>
  <c r="C3216"/>
  <c r="D3272"/>
  <c r="C3272"/>
  <c r="D3285"/>
  <c r="C3285"/>
  <c r="D3236"/>
  <c r="C3236"/>
  <c r="D3260"/>
  <c r="C3260"/>
  <c r="D3264"/>
  <c r="C3264"/>
  <c r="D3300"/>
  <c r="C3300"/>
  <c r="D3328"/>
  <c r="C3328"/>
  <c r="D3227"/>
  <c r="C3227"/>
  <c r="D3231"/>
  <c r="C3231"/>
  <c r="D3265"/>
  <c r="C3265"/>
  <c r="D3221"/>
  <c r="C3221"/>
  <c r="D3301"/>
  <c r="C3301"/>
  <c r="D3211"/>
  <c r="C3211"/>
  <c r="D3327"/>
  <c r="C3327"/>
  <c r="D3238"/>
  <c r="C3238"/>
  <c r="D3311"/>
  <c r="C3311"/>
  <c r="D3326"/>
  <c r="C3326"/>
  <c r="D3249"/>
  <c r="C3249"/>
  <c r="D3258"/>
  <c r="C3258"/>
  <c r="D3251"/>
  <c r="C3251"/>
  <c r="D3325"/>
  <c r="C3325"/>
  <c r="D3310"/>
  <c r="C3310"/>
  <c r="D3252"/>
  <c r="C3252"/>
  <c r="D3222"/>
  <c r="C3222"/>
  <c r="D3304"/>
  <c r="C3304"/>
  <c r="D3270"/>
  <c r="C3270"/>
  <c r="D3324"/>
  <c r="C3324"/>
  <c r="D3294"/>
  <c r="C3294"/>
  <c r="D3261"/>
  <c r="C3261"/>
  <c r="D3283"/>
  <c r="C3283"/>
  <c r="D3281"/>
  <c r="C3281"/>
  <c r="D3246"/>
  <c r="C3246"/>
  <c r="D3275"/>
  <c r="C3275"/>
  <c r="D3307"/>
  <c r="C3307"/>
  <c r="D3240"/>
  <c r="C3240"/>
  <c r="D3214"/>
  <c r="C3214"/>
  <c r="D3323"/>
  <c r="C3323"/>
  <c r="D3322"/>
  <c r="C3322"/>
  <c r="D3234"/>
  <c r="C3234"/>
  <c r="D3207"/>
  <c r="C3207"/>
  <c r="D3225"/>
  <c r="C3225"/>
  <c r="D3321"/>
  <c r="C3321"/>
  <c r="D3320"/>
  <c r="C3320"/>
  <c r="D3284"/>
  <c r="C3284"/>
  <c r="D3319"/>
  <c r="C3319"/>
  <c r="D3271"/>
  <c r="C3271"/>
  <c r="D3274"/>
  <c r="C3274"/>
  <c r="D3318"/>
  <c r="C3318"/>
  <c r="D3317"/>
  <c r="C3317"/>
  <c r="D3290"/>
  <c r="C3290"/>
  <c r="D3316"/>
  <c r="C3316"/>
  <c r="D3315"/>
  <c r="C3315"/>
  <c r="D3314"/>
  <c r="C3314"/>
  <c r="D3313"/>
  <c r="C3313"/>
  <c r="D3247"/>
  <c r="C3247"/>
  <c r="D3268"/>
  <c r="C3268"/>
  <c r="D3273"/>
  <c r="C3273"/>
  <c r="D3259"/>
  <c r="C3259"/>
  <c r="D3218"/>
  <c r="C3218"/>
  <c r="D3282"/>
  <c r="C3282"/>
  <c r="D3287"/>
  <c r="C3287"/>
  <c r="D3297"/>
  <c r="C3297"/>
  <c r="D3233"/>
  <c r="C3233"/>
  <c r="D3229"/>
  <c r="C3229"/>
  <c r="D3308"/>
  <c r="C3308"/>
  <c r="D3305"/>
  <c r="C3305"/>
  <c r="D3278"/>
  <c r="C3278"/>
  <c r="D3209"/>
  <c r="C3209"/>
  <c r="D3312"/>
  <c r="C3312"/>
  <c r="D3292"/>
  <c r="C3292"/>
  <c r="D3242"/>
  <c r="C3242"/>
  <c r="D3257"/>
  <c r="C3257"/>
  <c r="D3204"/>
  <c r="C3204"/>
  <c r="D3175"/>
  <c r="C3175"/>
  <c r="D3203"/>
  <c r="C3203"/>
  <c r="D3171"/>
  <c r="C3171"/>
  <c r="D3202"/>
  <c r="C3202"/>
  <c r="D3149"/>
  <c r="C3149"/>
  <c r="D3129"/>
  <c r="C3129"/>
  <c r="D3151"/>
  <c r="C3151"/>
  <c r="D3201"/>
  <c r="C3201"/>
  <c r="D3135"/>
  <c r="C3135"/>
  <c r="D3200"/>
  <c r="C3200"/>
  <c r="D3145"/>
  <c r="C3145"/>
  <c r="D3133"/>
  <c r="C3133"/>
  <c r="D3119"/>
  <c r="C3119"/>
  <c r="D3124"/>
  <c r="C3124"/>
  <c r="D3123"/>
  <c r="C3123"/>
  <c r="D3154"/>
  <c r="C3154"/>
  <c r="D3130"/>
  <c r="C3130"/>
  <c r="D3137"/>
  <c r="C3137"/>
  <c r="D3153"/>
  <c r="C3153"/>
  <c r="D3166"/>
  <c r="C3166"/>
  <c r="D3199"/>
  <c r="C3199"/>
  <c r="D3143"/>
  <c r="C3143"/>
  <c r="D3198"/>
  <c r="C3198"/>
  <c r="D3121"/>
  <c r="C3121"/>
  <c r="D3152"/>
  <c r="C3152"/>
  <c r="D3197"/>
  <c r="C3197"/>
  <c r="D3157"/>
  <c r="C3157"/>
  <c r="D3122"/>
  <c r="C3122"/>
  <c r="D3136"/>
  <c r="C3136"/>
  <c r="D3120"/>
  <c r="C3120"/>
  <c r="D3126"/>
  <c r="C3126"/>
  <c r="D3196"/>
  <c r="C3196"/>
  <c r="D3156"/>
  <c r="C3156"/>
  <c r="D3147"/>
  <c r="C3147"/>
  <c r="D3144"/>
  <c r="C3144"/>
  <c r="D3139"/>
  <c r="C3139"/>
  <c r="D3131"/>
  <c r="C3131"/>
  <c r="D3165"/>
  <c r="C3165"/>
  <c r="D3167"/>
  <c r="C3167"/>
  <c r="D3195"/>
  <c r="C3195"/>
  <c r="D3159"/>
  <c r="C3159"/>
  <c r="D3164"/>
  <c r="C3164"/>
  <c r="D3194"/>
  <c r="C3194"/>
  <c r="D3193"/>
  <c r="C3193"/>
  <c r="D3173"/>
  <c r="C3173"/>
  <c r="D3192"/>
  <c r="C3192"/>
  <c r="D3174"/>
  <c r="C3174"/>
  <c r="D3176"/>
  <c r="C3176"/>
  <c r="D3148"/>
  <c r="C3148"/>
  <c r="D3150"/>
  <c r="C3150"/>
  <c r="D3178"/>
  <c r="C3178"/>
  <c r="D3191"/>
  <c r="C3191"/>
  <c r="D3161"/>
  <c r="C3161"/>
  <c r="D3180"/>
  <c r="C3180"/>
  <c r="D3172"/>
  <c r="C3172"/>
  <c r="D3138"/>
  <c r="C3138"/>
  <c r="D3190"/>
  <c r="C3190"/>
  <c r="D3155"/>
  <c r="C3155"/>
  <c r="D3127"/>
  <c r="C3127"/>
  <c r="D3125"/>
  <c r="C3125"/>
  <c r="D3146"/>
  <c r="C3146"/>
  <c r="D3170"/>
  <c r="C3170"/>
  <c r="D3163"/>
  <c r="C3163"/>
  <c r="D3179"/>
  <c r="C3179"/>
  <c r="D3177"/>
  <c r="C3177"/>
  <c r="D3160"/>
  <c r="C3160"/>
  <c r="D3189"/>
  <c r="C3189"/>
  <c r="D3168"/>
  <c r="C3168"/>
  <c r="D3188"/>
  <c r="C3188"/>
  <c r="D3132"/>
  <c r="C3132"/>
  <c r="D3187"/>
  <c r="C3187"/>
  <c r="D3162"/>
  <c r="C3162"/>
  <c r="D3186"/>
  <c r="C3186"/>
  <c r="D3185"/>
  <c r="C3185"/>
  <c r="D3169"/>
  <c r="C3169"/>
  <c r="D3184"/>
  <c r="C3184"/>
  <c r="D3134"/>
  <c r="C3134"/>
  <c r="D3158"/>
  <c r="C3158"/>
  <c r="D3183"/>
  <c r="C3183"/>
  <c r="D3142"/>
  <c r="C3142"/>
  <c r="D3140"/>
  <c r="C3140"/>
  <c r="D3141"/>
  <c r="C3141"/>
  <c r="D3182"/>
  <c r="C3182"/>
  <c r="D3128"/>
  <c r="C3128"/>
  <c r="D3181"/>
  <c r="C3181"/>
  <c r="D3064"/>
  <c r="C3064"/>
  <c r="D3033"/>
  <c r="C3033"/>
  <c r="D3053"/>
  <c r="C3053"/>
  <c r="D3048"/>
  <c r="C3048"/>
  <c r="D3029"/>
  <c r="C3029"/>
  <c r="D3118"/>
  <c r="C3118"/>
  <c r="D3006"/>
  <c r="C3006"/>
  <c r="D2978"/>
  <c r="C2978"/>
  <c r="D3117"/>
  <c r="C3117"/>
  <c r="D3116"/>
  <c r="C3116"/>
  <c r="D3115"/>
  <c r="C3115"/>
  <c r="D2975"/>
  <c r="C2975"/>
  <c r="D3012"/>
  <c r="C3012"/>
  <c r="D3114"/>
  <c r="C3114"/>
  <c r="D2997"/>
  <c r="C2997"/>
  <c r="D3113"/>
  <c r="C3113"/>
  <c r="D3112"/>
  <c r="C3112"/>
  <c r="D3017"/>
  <c r="C3017"/>
  <c r="D3111"/>
  <c r="C3111"/>
  <c r="D3110"/>
  <c r="C3110"/>
  <c r="D3068"/>
  <c r="C3068"/>
  <c r="D3109"/>
  <c r="C3109"/>
  <c r="D3108"/>
  <c r="C3108"/>
  <c r="D3107"/>
  <c r="C3107"/>
  <c r="D3016"/>
  <c r="C3016"/>
  <c r="D2993"/>
  <c r="C2993"/>
  <c r="D3106"/>
  <c r="C3106"/>
  <c r="D3052"/>
  <c r="C3052"/>
  <c r="D3027"/>
  <c r="C3027"/>
  <c r="D2981"/>
  <c r="C2981"/>
  <c r="D3062"/>
  <c r="C3062"/>
  <c r="D3105"/>
  <c r="C3105"/>
  <c r="D3104"/>
  <c r="C3104"/>
  <c r="D3060"/>
  <c r="C3060"/>
  <c r="D3103"/>
  <c r="C3103"/>
  <c r="D3102"/>
  <c r="C3102"/>
  <c r="D2971"/>
  <c r="C2971"/>
  <c r="D2986"/>
  <c r="C2986"/>
  <c r="D3101"/>
  <c r="C3101"/>
  <c r="D3038"/>
  <c r="C3038"/>
  <c r="D2987"/>
  <c r="C2987"/>
  <c r="D3100"/>
  <c r="C3100"/>
  <c r="D2976"/>
  <c r="C2976"/>
  <c r="D3099"/>
  <c r="C3099"/>
  <c r="D3020"/>
  <c r="C3020"/>
  <c r="D3039"/>
  <c r="C3039"/>
  <c r="D3007"/>
  <c r="C3007"/>
  <c r="D3000"/>
  <c r="C3000"/>
  <c r="D3022"/>
  <c r="C3022"/>
  <c r="D3011"/>
  <c r="C3011"/>
  <c r="D2990"/>
  <c r="C2990"/>
  <c r="D2991"/>
  <c r="C2991"/>
  <c r="D3031"/>
  <c r="C3031"/>
  <c r="D3037"/>
  <c r="C3037"/>
  <c r="D3030"/>
  <c r="C3030"/>
  <c r="D2989"/>
  <c r="C2989"/>
  <c r="D3059"/>
  <c r="C3059"/>
  <c r="D2984"/>
  <c r="C2984"/>
  <c r="D3009"/>
  <c r="C3009"/>
  <c r="D3098"/>
  <c r="C3098"/>
  <c r="D2988"/>
  <c r="C2988"/>
  <c r="D2977"/>
  <c r="C2977"/>
  <c r="D3097"/>
  <c r="C3097"/>
  <c r="D3047"/>
  <c r="C3047"/>
  <c r="D2980"/>
  <c r="C2980"/>
  <c r="D2972"/>
  <c r="C2972"/>
  <c r="D3042"/>
  <c r="C3042"/>
  <c r="D3024"/>
  <c r="C3024"/>
  <c r="D3056"/>
  <c r="C3056"/>
  <c r="D3096"/>
  <c r="C3096"/>
  <c r="D3021"/>
  <c r="C3021"/>
  <c r="D2996"/>
  <c r="C2996"/>
  <c r="D3095"/>
  <c r="C3095"/>
  <c r="D3014"/>
  <c r="C3014"/>
  <c r="D3094"/>
  <c r="C3094"/>
  <c r="D3051"/>
  <c r="C3051"/>
  <c r="D3013"/>
  <c r="C3013"/>
  <c r="D3041"/>
  <c r="C3041"/>
  <c r="D3058"/>
  <c r="C3058"/>
  <c r="D3054"/>
  <c r="C3054"/>
  <c r="D2974"/>
  <c r="C2974"/>
  <c r="D3008"/>
  <c r="C3008"/>
  <c r="D3018"/>
  <c r="C3018"/>
  <c r="D3005"/>
  <c r="C3005"/>
  <c r="D3019"/>
  <c r="C3019"/>
  <c r="D3057"/>
  <c r="C3057"/>
  <c r="D3004"/>
  <c r="C3004"/>
  <c r="D3066"/>
  <c r="C3066"/>
  <c r="D3093"/>
  <c r="C3093"/>
  <c r="D2995"/>
  <c r="C2995"/>
  <c r="D3061"/>
  <c r="C3061"/>
  <c r="D3092"/>
  <c r="C3092"/>
  <c r="D2998"/>
  <c r="C2998"/>
  <c r="D3067"/>
  <c r="C3067"/>
  <c r="D3032"/>
  <c r="C3032"/>
  <c r="D3050"/>
  <c r="C3050"/>
  <c r="D3045"/>
  <c r="C3045"/>
  <c r="D3001"/>
  <c r="C3001"/>
  <c r="D3023"/>
  <c r="C3023"/>
  <c r="D3091"/>
  <c r="C3091"/>
  <c r="D3090"/>
  <c r="C3090"/>
  <c r="D3055"/>
  <c r="C3055"/>
  <c r="D2985"/>
  <c r="C2985"/>
  <c r="D3003"/>
  <c r="C3003"/>
  <c r="D3034"/>
  <c r="C3034"/>
  <c r="D3036"/>
  <c r="C3036"/>
  <c r="D3089"/>
  <c r="C3089"/>
  <c r="D3088"/>
  <c r="C3088"/>
  <c r="D3087"/>
  <c r="C3087"/>
  <c r="D2994"/>
  <c r="C2994"/>
  <c r="D3086"/>
  <c r="C3086"/>
  <c r="D2979"/>
  <c r="C2979"/>
  <c r="D2992"/>
  <c r="C2992"/>
  <c r="D3002"/>
  <c r="C3002"/>
  <c r="D3063"/>
  <c r="C3063"/>
  <c r="D3010"/>
  <c r="C3010"/>
  <c r="D2982"/>
  <c r="C2982"/>
  <c r="D3085"/>
  <c r="C3085"/>
  <c r="D3049"/>
  <c r="C3049"/>
  <c r="D3084"/>
  <c r="C3084"/>
  <c r="D3083"/>
  <c r="C3083"/>
  <c r="D3046"/>
  <c r="C3046"/>
  <c r="D3040"/>
  <c r="C3040"/>
  <c r="D3082"/>
  <c r="C3082"/>
  <c r="D3044"/>
  <c r="C3044"/>
  <c r="D3065"/>
  <c r="C3065"/>
  <c r="D3081"/>
  <c r="C3081"/>
  <c r="D2983"/>
  <c r="C2983"/>
  <c r="D2999"/>
  <c r="C2999"/>
  <c r="D2973"/>
  <c r="C2973"/>
  <c r="D3080"/>
  <c r="C3080"/>
  <c r="D3043"/>
  <c r="C3043"/>
  <c r="D3079"/>
  <c r="C3079"/>
  <c r="D3026"/>
  <c r="C3026"/>
  <c r="D3078"/>
  <c r="C3078"/>
  <c r="D3077"/>
  <c r="C3077"/>
  <c r="D3076"/>
  <c r="C3076"/>
  <c r="D3075"/>
  <c r="C3075"/>
  <c r="D3074"/>
  <c r="C3074"/>
  <c r="D3073"/>
  <c r="C3073"/>
  <c r="D3072"/>
  <c r="C3072"/>
  <c r="D3028"/>
  <c r="C3028"/>
  <c r="D3015"/>
  <c r="C3015"/>
  <c r="D3071"/>
  <c r="C3071"/>
  <c r="D3070"/>
  <c r="C3070"/>
  <c r="D3035"/>
  <c r="C3035"/>
  <c r="D3069"/>
  <c r="C3069"/>
  <c r="D3025"/>
  <c r="C3025"/>
  <c r="D2925"/>
  <c r="C2925"/>
  <c r="D2912"/>
  <c r="C2912"/>
  <c r="D2970"/>
  <c r="C2970"/>
  <c r="D2903"/>
  <c r="C2903"/>
  <c r="D2943"/>
  <c r="C2943"/>
  <c r="D2916"/>
  <c r="C2916"/>
  <c r="D2911"/>
  <c r="C2911"/>
  <c r="D2945"/>
  <c r="C2945"/>
  <c r="D2930"/>
  <c r="C2930"/>
  <c r="D2936"/>
  <c r="C2936"/>
  <c r="D2938"/>
  <c r="C2938"/>
  <c r="D2926"/>
  <c r="C2926"/>
  <c r="D2919"/>
  <c r="C2919"/>
  <c r="D2969"/>
  <c r="C2969"/>
  <c r="D2931"/>
  <c r="C2931"/>
  <c r="D2968"/>
  <c r="C2968"/>
  <c r="D2900"/>
  <c r="C2900"/>
  <c r="D2944"/>
  <c r="C2944"/>
  <c r="D2924"/>
  <c r="C2924"/>
  <c r="D2908"/>
  <c r="C2908"/>
  <c r="D2939"/>
  <c r="C2939"/>
  <c r="D2967"/>
  <c r="C2967"/>
  <c r="D2954"/>
  <c r="C2954"/>
  <c r="D2928"/>
  <c r="C2928"/>
  <c r="D2966"/>
  <c r="C2966"/>
  <c r="D2965"/>
  <c r="C2965"/>
  <c r="D2918"/>
  <c r="C2918"/>
  <c r="D2915"/>
  <c r="C2915"/>
  <c r="D2917"/>
  <c r="C2917"/>
  <c r="D2964"/>
  <c r="C2964"/>
  <c r="D2963"/>
  <c r="C2963"/>
  <c r="D2901"/>
  <c r="C2901"/>
  <c r="D2953"/>
  <c r="C2953"/>
  <c r="D2907"/>
  <c r="C2907"/>
  <c r="D2914"/>
  <c r="C2914"/>
  <c r="D2962"/>
  <c r="C2962"/>
  <c r="D2947"/>
  <c r="C2947"/>
  <c r="D2934"/>
  <c r="C2934"/>
  <c r="D2941"/>
  <c r="C2941"/>
  <c r="D2922"/>
  <c r="C2922"/>
  <c r="D2935"/>
  <c r="C2935"/>
  <c r="D2909"/>
  <c r="C2909"/>
  <c r="D2920"/>
  <c r="C2920"/>
  <c r="D2961"/>
  <c r="C2961"/>
  <c r="D2913"/>
  <c r="C2913"/>
  <c r="D2923"/>
  <c r="C2923"/>
  <c r="D2921"/>
  <c r="C2921"/>
  <c r="D2906"/>
  <c r="C2906"/>
  <c r="D2902"/>
  <c r="C2902"/>
  <c r="D2955"/>
  <c r="C2955"/>
  <c r="D2946"/>
  <c r="C2946"/>
  <c r="D2952"/>
  <c r="C2952"/>
  <c r="D2929"/>
  <c r="C2929"/>
  <c r="D2932"/>
  <c r="C2932"/>
  <c r="D2904"/>
  <c r="C2904"/>
  <c r="D2927"/>
  <c r="C2927"/>
  <c r="D2905"/>
  <c r="C2905"/>
  <c r="D2937"/>
  <c r="C2937"/>
  <c r="D2960"/>
  <c r="C2960"/>
  <c r="D2940"/>
  <c r="C2940"/>
  <c r="D2959"/>
  <c r="C2959"/>
  <c r="D2949"/>
  <c r="C2949"/>
  <c r="D2951"/>
  <c r="C2951"/>
  <c r="D2910"/>
  <c r="C2910"/>
  <c r="D2948"/>
  <c r="C2948"/>
  <c r="D2958"/>
  <c r="C2958"/>
  <c r="D2957"/>
  <c r="C2957"/>
  <c r="D2942"/>
  <c r="C2942"/>
  <c r="D2956"/>
  <c r="C2956"/>
  <c r="D2950"/>
  <c r="C2950"/>
  <c r="D2933"/>
  <c r="C2933"/>
  <c r="D2762"/>
  <c r="C2762"/>
  <c r="D2842"/>
  <c r="C2842"/>
  <c r="D2815"/>
  <c r="C2815"/>
  <c r="D2796"/>
  <c r="C2796"/>
  <c r="D2899"/>
  <c r="C2899"/>
  <c r="D2776"/>
  <c r="C2776"/>
  <c r="D2828"/>
  <c r="C2828"/>
  <c r="D2811"/>
  <c r="C2811"/>
  <c r="D2812"/>
  <c r="C2812"/>
  <c r="D2898"/>
  <c r="C2898"/>
  <c r="D2784"/>
  <c r="C2784"/>
  <c r="D2791"/>
  <c r="C2791"/>
  <c r="D2861"/>
  <c r="C2861"/>
  <c r="D2770"/>
  <c r="C2770"/>
  <c r="D2778"/>
  <c r="C2778"/>
  <c r="D2795"/>
  <c r="C2795"/>
  <c r="D2897"/>
  <c r="C2897"/>
  <c r="D2777"/>
  <c r="C2777"/>
  <c r="D2845"/>
  <c r="C2845"/>
  <c r="D2831"/>
  <c r="C2831"/>
  <c r="D2826"/>
  <c r="C2826"/>
  <c r="D2774"/>
  <c r="C2774"/>
  <c r="D2896"/>
  <c r="C2896"/>
  <c r="D2808"/>
  <c r="C2808"/>
  <c r="D2771"/>
  <c r="C2771"/>
  <c r="D2767"/>
  <c r="C2767"/>
  <c r="D2792"/>
  <c r="C2792"/>
  <c r="D2766"/>
  <c r="C2766"/>
  <c r="D2895"/>
  <c r="C2895"/>
  <c r="D2805"/>
  <c r="C2805"/>
  <c r="D2807"/>
  <c r="C2807"/>
  <c r="D2801"/>
  <c r="C2801"/>
  <c r="D2833"/>
  <c r="C2833"/>
  <c r="D2816"/>
  <c r="C2816"/>
  <c r="D2894"/>
  <c r="C2894"/>
  <c r="D2775"/>
  <c r="C2775"/>
  <c r="D2849"/>
  <c r="C2849"/>
  <c r="D2893"/>
  <c r="C2893"/>
  <c r="D2892"/>
  <c r="C2892"/>
  <c r="D2891"/>
  <c r="C2891"/>
  <c r="D2797"/>
  <c r="C2797"/>
  <c r="D2851"/>
  <c r="C2851"/>
  <c r="D2859"/>
  <c r="C2859"/>
  <c r="D2890"/>
  <c r="C2890"/>
  <c r="D2829"/>
  <c r="C2829"/>
  <c r="D2889"/>
  <c r="C2889"/>
  <c r="D2888"/>
  <c r="C2888"/>
  <c r="D2832"/>
  <c r="C2832"/>
  <c r="D2840"/>
  <c r="C2840"/>
  <c r="D2803"/>
  <c r="C2803"/>
  <c r="D2887"/>
  <c r="C2887"/>
  <c r="D2809"/>
  <c r="C2809"/>
  <c r="D2781"/>
  <c r="C2781"/>
  <c r="D2854"/>
  <c r="C2854"/>
  <c r="D2765"/>
  <c r="C2765"/>
  <c r="D2817"/>
  <c r="C2817"/>
  <c r="D2838"/>
  <c r="C2838"/>
  <c r="D2763"/>
  <c r="C2763"/>
  <c r="D2886"/>
  <c r="C2886"/>
  <c r="D2885"/>
  <c r="C2885"/>
  <c r="D2852"/>
  <c r="C2852"/>
  <c r="D2779"/>
  <c r="C2779"/>
  <c r="D2856"/>
  <c r="C2856"/>
  <c r="D2884"/>
  <c r="C2884"/>
  <c r="D2782"/>
  <c r="C2782"/>
  <c r="D2883"/>
  <c r="C2883"/>
  <c r="D2853"/>
  <c r="C2853"/>
  <c r="D2772"/>
  <c r="C2772"/>
  <c r="D2798"/>
  <c r="C2798"/>
  <c r="D2848"/>
  <c r="C2848"/>
  <c r="D2882"/>
  <c r="C2882"/>
  <c r="D2830"/>
  <c r="C2830"/>
  <c r="D2823"/>
  <c r="C2823"/>
  <c r="D2881"/>
  <c r="C2881"/>
  <c r="D2813"/>
  <c r="C2813"/>
  <c r="D2837"/>
  <c r="C2837"/>
  <c r="D2857"/>
  <c r="C2857"/>
  <c r="D2880"/>
  <c r="C2880"/>
  <c r="D2794"/>
  <c r="C2794"/>
  <c r="D2827"/>
  <c r="C2827"/>
  <c r="D2806"/>
  <c r="C2806"/>
  <c r="D2786"/>
  <c r="C2786"/>
  <c r="D2879"/>
  <c r="C2879"/>
  <c r="D2855"/>
  <c r="C2855"/>
  <c r="D2825"/>
  <c r="C2825"/>
  <c r="D2783"/>
  <c r="C2783"/>
  <c r="D2846"/>
  <c r="C2846"/>
  <c r="D2850"/>
  <c r="C2850"/>
  <c r="D2878"/>
  <c r="C2878"/>
  <c r="D2810"/>
  <c r="C2810"/>
  <c r="D2877"/>
  <c r="C2877"/>
  <c r="D2814"/>
  <c r="C2814"/>
  <c r="D2821"/>
  <c r="C2821"/>
  <c r="D2876"/>
  <c r="C2876"/>
  <c r="D2875"/>
  <c r="C2875"/>
  <c r="D2874"/>
  <c r="C2874"/>
  <c r="D2804"/>
  <c r="C2804"/>
  <c r="D2873"/>
  <c r="C2873"/>
  <c r="D2872"/>
  <c r="C2872"/>
  <c r="D2789"/>
  <c r="C2789"/>
  <c r="D2800"/>
  <c r="C2800"/>
  <c r="D2790"/>
  <c r="C2790"/>
  <c r="D2824"/>
  <c r="C2824"/>
  <c r="D2785"/>
  <c r="C2785"/>
  <c r="D2871"/>
  <c r="C2871"/>
  <c r="D2799"/>
  <c r="C2799"/>
  <c r="D2860"/>
  <c r="C2860"/>
  <c r="D2780"/>
  <c r="C2780"/>
  <c r="D2818"/>
  <c r="C2818"/>
  <c r="D2870"/>
  <c r="C2870"/>
  <c r="D2869"/>
  <c r="C2869"/>
  <c r="D2868"/>
  <c r="C2868"/>
  <c r="D2769"/>
  <c r="C2769"/>
  <c r="D2862"/>
  <c r="C2862"/>
  <c r="D2802"/>
  <c r="C2802"/>
  <c r="D2773"/>
  <c r="C2773"/>
  <c r="D2867"/>
  <c r="C2867"/>
  <c r="D2822"/>
  <c r="C2822"/>
  <c r="D2841"/>
  <c r="C2841"/>
  <c r="D2836"/>
  <c r="C2836"/>
  <c r="D2844"/>
  <c r="C2844"/>
  <c r="D2866"/>
  <c r="C2866"/>
  <c r="D2764"/>
  <c r="C2764"/>
  <c r="D2847"/>
  <c r="C2847"/>
  <c r="D2787"/>
  <c r="C2787"/>
  <c r="D2865"/>
  <c r="C2865"/>
  <c r="D2834"/>
  <c r="C2834"/>
  <c r="D2864"/>
  <c r="C2864"/>
  <c r="D2793"/>
  <c r="C2793"/>
  <c r="D2843"/>
  <c r="C2843"/>
  <c r="D2768"/>
  <c r="C2768"/>
  <c r="D2858"/>
  <c r="C2858"/>
  <c r="D2835"/>
  <c r="C2835"/>
  <c r="D2820"/>
  <c r="C2820"/>
  <c r="D2819"/>
  <c r="C2819"/>
  <c r="D2788"/>
  <c r="C2788"/>
  <c r="D2863"/>
  <c r="C2863"/>
  <c r="D2839"/>
  <c r="C2839"/>
  <c r="D2761"/>
  <c r="C2761"/>
  <c r="D2744"/>
  <c r="C2744"/>
  <c r="D2760"/>
  <c r="C2760"/>
  <c r="D2759"/>
  <c r="C2759"/>
  <c r="D2721"/>
  <c r="C2721"/>
  <c r="D2724"/>
  <c r="C2724"/>
  <c r="D2720"/>
  <c r="C2720"/>
  <c r="D2726"/>
  <c r="C2726"/>
  <c r="D2731"/>
  <c r="C2731"/>
  <c r="D2730"/>
  <c r="C2730"/>
  <c r="D2758"/>
  <c r="C2758"/>
  <c r="D2745"/>
  <c r="C2745"/>
  <c r="D2741"/>
  <c r="C2741"/>
  <c r="D2746"/>
  <c r="C2746"/>
  <c r="D2727"/>
  <c r="C2727"/>
  <c r="D2723"/>
  <c r="C2723"/>
  <c r="D2718"/>
  <c r="C2718"/>
  <c r="D2757"/>
  <c r="C2757"/>
  <c r="D2732"/>
  <c r="C2732"/>
  <c r="D2729"/>
  <c r="C2729"/>
  <c r="D2756"/>
  <c r="C2756"/>
  <c r="D2740"/>
  <c r="C2740"/>
  <c r="D2743"/>
  <c r="C2743"/>
  <c r="D2749"/>
  <c r="C2749"/>
  <c r="D2722"/>
  <c r="C2722"/>
  <c r="D2755"/>
  <c r="C2755"/>
  <c r="D2728"/>
  <c r="C2728"/>
  <c r="D2725"/>
  <c r="C2725"/>
  <c r="D2734"/>
  <c r="C2734"/>
  <c r="D2736"/>
  <c r="C2736"/>
  <c r="D2742"/>
  <c r="C2742"/>
  <c r="D2750"/>
  <c r="C2750"/>
  <c r="D2754"/>
  <c r="C2754"/>
  <c r="D2719"/>
  <c r="C2719"/>
  <c r="D2748"/>
  <c r="C2748"/>
  <c r="D2753"/>
  <c r="C2753"/>
  <c r="D2733"/>
  <c r="C2733"/>
  <c r="D2735"/>
  <c r="C2735"/>
  <c r="D2717"/>
  <c r="C2717"/>
  <c r="D2738"/>
  <c r="C2738"/>
  <c r="D2716"/>
  <c r="C2716"/>
  <c r="D2752"/>
  <c r="C2752"/>
  <c r="D2739"/>
  <c r="C2739"/>
  <c r="D2751"/>
  <c r="C2751"/>
  <c r="D2737"/>
  <c r="C2737"/>
  <c r="D2747"/>
  <c r="C2747"/>
  <c r="D2587"/>
  <c r="C2587"/>
  <c r="D2715"/>
  <c r="C2715"/>
  <c r="D2675"/>
  <c r="C2675"/>
  <c r="D2645"/>
  <c r="C2645"/>
  <c r="D2614"/>
  <c r="C2614"/>
  <c r="D2646"/>
  <c r="C2646"/>
  <c r="D2624"/>
  <c r="C2624"/>
  <c r="D2714"/>
  <c r="C2714"/>
  <c r="D2638"/>
  <c r="C2638"/>
  <c r="D2713"/>
  <c r="C2713"/>
  <c r="D2654"/>
  <c r="C2654"/>
  <c r="D2712"/>
  <c r="C2712"/>
  <c r="D2644"/>
  <c r="C2644"/>
  <c r="D2650"/>
  <c r="C2650"/>
  <c r="D2711"/>
  <c r="C2711"/>
  <c r="D2710"/>
  <c r="C2710"/>
  <c r="D2657"/>
  <c r="C2657"/>
  <c r="D2590"/>
  <c r="C2590"/>
  <c r="D2661"/>
  <c r="C2661"/>
  <c r="D2709"/>
  <c r="C2709"/>
  <c r="D2708"/>
  <c r="C2708"/>
  <c r="D2660"/>
  <c r="C2660"/>
  <c r="D2655"/>
  <c r="C2655"/>
  <c r="D2591"/>
  <c r="C2591"/>
  <c r="D2677"/>
  <c r="C2677"/>
  <c r="D2635"/>
  <c r="C2635"/>
  <c r="D2707"/>
  <c r="C2707"/>
  <c r="D2608"/>
  <c r="C2608"/>
  <c r="D2622"/>
  <c r="C2622"/>
  <c r="D2648"/>
  <c r="C2648"/>
  <c r="D2602"/>
  <c r="C2602"/>
  <c r="D2609"/>
  <c r="C2609"/>
  <c r="D2706"/>
  <c r="C2706"/>
  <c r="D2617"/>
  <c r="C2617"/>
  <c r="D2623"/>
  <c r="C2623"/>
  <c r="D2586"/>
  <c r="C2586"/>
  <c r="D2616"/>
  <c r="C2616"/>
  <c r="D2625"/>
  <c r="C2625"/>
  <c r="D2598"/>
  <c r="C2598"/>
  <c r="D2628"/>
  <c r="C2628"/>
  <c r="D2705"/>
  <c r="C2705"/>
  <c r="D2668"/>
  <c r="C2668"/>
  <c r="D2593"/>
  <c r="C2593"/>
  <c r="D2704"/>
  <c r="C2704"/>
  <c r="D2703"/>
  <c r="C2703"/>
  <c r="D2702"/>
  <c r="C2702"/>
  <c r="D2626"/>
  <c r="C2626"/>
  <c r="D2592"/>
  <c r="C2592"/>
  <c r="D2619"/>
  <c r="C2619"/>
  <c r="D2658"/>
  <c r="C2658"/>
  <c r="D2613"/>
  <c r="C2613"/>
  <c r="D2666"/>
  <c r="C2666"/>
  <c r="D2600"/>
  <c r="C2600"/>
  <c r="D2642"/>
  <c r="C2642"/>
  <c r="D2601"/>
  <c r="C2601"/>
  <c r="D2671"/>
  <c r="C2671"/>
  <c r="D2588"/>
  <c r="C2588"/>
  <c r="D2701"/>
  <c r="C2701"/>
  <c r="D2700"/>
  <c r="C2700"/>
  <c r="D2596"/>
  <c r="C2596"/>
  <c r="D2676"/>
  <c r="C2676"/>
  <c r="D2604"/>
  <c r="C2604"/>
  <c r="D2597"/>
  <c r="C2597"/>
  <c r="D2618"/>
  <c r="C2618"/>
  <c r="D2653"/>
  <c r="C2653"/>
  <c r="D2674"/>
  <c r="C2674"/>
  <c r="D2647"/>
  <c r="C2647"/>
  <c r="D2682"/>
  <c r="C2682"/>
  <c r="D2599"/>
  <c r="C2599"/>
  <c r="D2664"/>
  <c r="C2664"/>
  <c r="D2678"/>
  <c r="C2678"/>
  <c r="D2672"/>
  <c r="C2672"/>
  <c r="D2630"/>
  <c r="C2630"/>
  <c r="D2667"/>
  <c r="C2667"/>
  <c r="D2679"/>
  <c r="C2679"/>
  <c r="D2652"/>
  <c r="C2652"/>
  <c r="D2649"/>
  <c r="C2649"/>
  <c r="D2699"/>
  <c r="C2699"/>
  <c r="D2698"/>
  <c r="C2698"/>
  <c r="D2627"/>
  <c r="C2627"/>
  <c r="D2697"/>
  <c r="C2697"/>
  <c r="D2589"/>
  <c r="C2589"/>
  <c r="D2696"/>
  <c r="C2696"/>
  <c r="D2612"/>
  <c r="C2612"/>
  <c r="D2607"/>
  <c r="C2607"/>
  <c r="D2695"/>
  <c r="C2695"/>
  <c r="D2611"/>
  <c r="C2611"/>
  <c r="D2694"/>
  <c r="C2694"/>
  <c r="D2636"/>
  <c r="C2636"/>
  <c r="D2665"/>
  <c r="C2665"/>
  <c r="D2693"/>
  <c r="C2693"/>
  <c r="D2606"/>
  <c r="C2606"/>
  <c r="D2637"/>
  <c r="C2637"/>
  <c r="D2692"/>
  <c r="C2692"/>
  <c r="D2633"/>
  <c r="C2633"/>
  <c r="D2659"/>
  <c r="C2659"/>
  <c r="D2691"/>
  <c r="C2691"/>
  <c r="D2683"/>
  <c r="C2683"/>
  <c r="D2670"/>
  <c r="C2670"/>
  <c r="D2605"/>
  <c r="C2605"/>
  <c r="D2673"/>
  <c r="C2673"/>
  <c r="D2643"/>
  <c r="C2643"/>
  <c r="D2662"/>
  <c r="C2662"/>
  <c r="D2690"/>
  <c r="C2690"/>
  <c r="D2689"/>
  <c r="C2689"/>
  <c r="D2688"/>
  <c r="C2688"/>
  <c r="D2640"/>
  <c r="C2640"/>
  <c r="D2631"/>
  <c r="C2631"/>
  <c r="D2641"/>
  <c r="C2641"/>
  <c r="D2595"/>
  <c r="C2595"/>
  <c r="D2594"/>
  <c r="C2594"/>
  <c r="D2687"/>
  <c r="C2687"/>
  <c r="D2639"/>
  <c r="C2639"/>
  <c r="D2663"/>
  <c r="C2663"/>
  <c r="D2615"/>
  <c r="C2615"/>
  <c r="D2686"/>
  <c r="C2686"/>
  <c r="D2651"/>
  <c r="C2651"/>
  <c r="D2685"/>
  <c r="C2685"/>
  <c r="D2656"/>
  <c r="C2656"/>
  <c r="D2632"/>
  <c r="C2632"/>
  <c r="D2684"/>
  <c r="C2684"/>
  <c r="D2620"/>
  <c r="C2620"/>
  <c r="D2629"/>
  <c r="C2629"/>
  <c r="D2680"/>
  <c r="C2680"/>
  <c r="D2621"/>
  <c r="C2621"/>
  <c r="D2681"/>
  <c r="C2681"/>
  <c r="D2669"/>
  <c r="C2669"/>
  <c r="D2610"/>
  <c r="C2610"/>
  <c r="D2603"/>
  <c r="C2603"/>
  <c r="D2634"/>
  <c r="C2634"/>
  <c r="D2354"/>
  <c r="C2354"/>
  <c r="D2404"/>
  <c r="C2404"/>
  <c r="D2585"/>
  <c r="C2585"/>
  <c r="D2415"/>
  <c r="C2415"/>
  <c r="D2321"/>
  <c r="C2321"/>
  <c r="D2477"/>
  <c r="C2477"/>
  <c r="D2452"/>
  <c r="C2452"/>
  <c r="D2584"/>
  <c r="C2584"/>
  <c r="D2391"/>
  <c r="C2391"/>
  <c r="D2461"/>
  <c r="C2461"/>
  <c r="D2479"/>
  <c r="C2479"/>
  <c r="D2332"/>
  <c r="C2332"/>
  <c r="D2313"/>
  <c r="C2313"/>
  <c r="D2481"/>
  <c r="C2481"/>
  <c r="D2285"/>
  <c r="C2285"/>
  <c r="D2410"/>
  <c r="C2410"/>
  <c r="D2370"/>
  <c r="C2370"/>
  <c r="D2344"/>
  <c r="C2344"/>
  <c r="D2583"/>
  <c r="C2583"/>
  <c r="D2509"/>
  <c r="C2509"/>
  <c r="D2305"/>
  <c r="C2305"/>
  <c r="D2582"/>
  <c r="C2582"/>
  <c r="D2379"/>
  <c r="C2379"/>
  <c r="D2581"/>
  <c r="C2581"/>
  <c r="D2406"/>
  <c r="C2406"/>
  <c r="D2333"/>
  <c r="C2333"/>
  <c r="D2388"/>
  <c r="C2388"/>
  <c r="D2330"/>
  <c r="C2330"/>
  <c r="D2505"/>
  <c r="C2505"/>
  <c r="D2386"/>
  <c r="C2386"/>
  <c r="D2490"/>
  <c r="C2490"/>
  <c r="D2580"/>
  <c r="C2580"/>
  <c r="D2579"/>
  <c r="C2579"/>
  <c r="D2369"/>
  <c r="C2369"/>
  <c r="D2350"/>
  <c r="C2350"/>
  <c r="D2316"/>
  <c r="C2316"/>
  <c r="D2578"/>
  <c r="C2578"/>
  <c r="D2577"/>
  <c r="C2577"/>
  <c r="D2511"/>
  <c r="C2511"/>
  <c r="D2349"/>
  <c r="C2349"/>
  <c r="D2576"/>
  <c r="C2576"/>
  <c r="D2385"/>
  <c r="C2385"/>
  <c r="D2329"/>
  <c r="C2329"/>
  <c r="D2362"/>
  <c r="C2362"/>
  <c r="D2327"/>
  <c r="C2327"/>
  <c r="D2575"/>
  <c r="C2575"/>
  <c r="D2408"/>
  <c r="C2408"/>
  <c r="D2394"/>
  <c r="C2394"/>
  <c r="D2378"/>
  <c r="C2378"/>
  <c r="D2574"/>
  <c r="C2574"/>
  <c r="D2288"/>
  <c r="C2288"/>
  <c r="D2399"/>
  <c r="C2399"/>
  <c r="D2436"/>
  <c r="C2436"/>
  <c r="D2283"/>
  <c r="C2283"/>
  <c r="D2573"/>
  <c r="C2573"/>
  <c r="D2303"/>
  <c r="C2303"/>
  <c r="D2470"/>
  <c r="C2470"/>
  <c r="D2572"/>
  <c r="C2572"/>
  <c r="D2499"/>
  <c r="C2499"/>
  <c r="D2430"/>
  <c r="C2430"/>
  <c r="D2500"/>
  <c r="C2500"/>
  <c r="D2417"/>
  <c r="C2417"/>
  <c r="D2571"/>
  <c r="C2571"/>
  <c r="D2570"/>
  <c r="C2570"/>
  <c r="D2377"/>
  <c r="C2377"/>
  <c r="D2569"/>
  <c r="C2569"/>
  <c r="D2568"/>
  <c r="C2568"/>
  <c r="D2315"/>
  <c r="C2315"/>
  <c r="D2441"/>
  <c r="C2441"/>
  <c r="D2567"/>
  <c r="C2567"/>
  <c r="D2322"/>
  <c r="C2322"/>
  <c r="D2424"/>
  <c r="C2424"/>
  <c r="D2304"/>
  <c r="C2304"/>
  <c r="D2284"/>
  <c r="C2284"/>
  <c r="D2491"/>
  <c r="C2491"/>
  <c r="D2290"/>
  <c r="C2290"/>
  <c r="D2566"/>
  <c r="C2566"/>
  <c r="D2565"/>
  <c r="C2565"/>
  <c r="D2331"/>
  <c r="C2331"/>
  <c r="D2363"/>
  <c r="C2363"/>
  <c r="D2382"/>
  <c r="C2382"/>
  <c r="D2484"/>
  <c r="C2484"/>
  <c r="D2409"/>
  <c r="C2409"/>
  <c r="D2451"/>
  <c r="C2451"/>
  <c r="D2412"/>
  <c r="C2412"/>
  <c r="D2387"/>
  <c r="C2387"/>
  <c r="D2564"/>
  <c r="C2564"/>
  <c r="D2563"/>
  <c r="C2563"/>
  <c r="D2325"/>
  <c r="C2325"/>
  <c r="D2320"/>
  <c r="C2320"/>
  <c r="D2562"/>
  <c r="C2562"/>
  <c r="D2561"/>
  <c r="C2561"/>
  <c r="D2560"/>
  <c r="C2560"/>
  <c r="D2355"/>
  <c r="C2355"/>
  <c r="D2493"/>
  <c r="C2493"/>
  <c r="D2373"/>
  <c r="C2373"/>
  <c r="D2559"/>
  <c r="C2559"/>
  <c r="D2423"/>
  <c r="C2423"/>
  <c r="D2558"/>
  <c r="C2558"/>
  <c r="D2557"/>
  <c r="C2557"/>
  <c r="D2556"/>
  <c r="C2556"/>
  <c r="D2390"/>
  <c r="C2390"/>
  <c r="D2475"/>
  <c r="C2475"/>
  <c r="D2351"/>
  <c r="C2351"/>
  <c r="D2504"/>
  <c r="C2504"/>
  <c r="D2371"/>
  <c r="C2371"/>
  <c r="D2375"/>
  <c r="C2375"/>
  <c r="D2555"/>
  <c r="C2555"/>
  <c r="D2292"/>
  <c r="C2292"/>
  <c r="D2554"/>
  <c r="C2554"/>
  <c r="D2553"/>
  <c r="C2553"/>
  <c r="D2486"/>
  <c r="C2486"/>
  <c r="D2357"/>
  <c r="C2357"/>
  <c r="D2489"/>
  <c r="C2489"/>
  <c r="D2429"/>
  <c r="C2429"/>
  <c r="D2552"/>
  <c r="C2552"/>
  <c r="D2454"/>
  <c r="C2454"/>
  <c r="D2383"/>
  <c r="C2383"/>
  <c r="D2494"/>
  <c r="C2494"/>
  <c r="D2368"/>
  <c r="C2368"/>
  <c r="D2551"/>
  <c r="C2551"/>
  <c r="D2507"/>
  <c r="C2507"/>
  <c r="D2393"/>
  <c r="C2393"/>
  <c r="D2550"/>
  <c r="C2550"/>
  <c r="D2405"/>
  <c r="C2405"/>
  <c r="D2395"/>
  <c r="C2395"/>
  <c r="D2337"/>
  <c r="C2337"/>
  <c r="D2318"/>
  <c r="C2318"/>
  <c r="D2549"/>
  <c r="C2549"/>
  <c r="D2548"/>
  <c r="C2548"/>
  <c r="D2547"/>
  <c r="C2547"/>
  <c r="D2442"/>
  <c r="C2442"/>
  <c r="D2431"/>
  <c r="C2431"/>
  <c r="D2483"/>
  <c r="C2483"/>
  <c r="D2546"/>
  <c r="C2546"/>
  <c r="D2326"/>
  <c r="C2326"/>
  <c r="D2545"/>
  <c r="C2545"/>
  <c r="D2376"/>
  <c r="C2376"/>
  <c r="D2438"/>
  <c r="C2438"/>
  <c r="D2544"/>
  <c r="C2544"/>
  <c r="D2440"/>
  <c r="C2440"/>
  <c r="D2296"/>
  <c r="C2296"/>
  <c r="D2543"/>
  <c r="C2543"/>
  <c r="D2426"/>
  <c r="C2426"/>
  <c r="D2459"/>
  <c r="C2459"/>
  <c r="D2437"/>
  <c r="C2437"/>
  <c r="D2542"/>
  <c r="C2542"/>
  <c r="D2293"/>
  <c r="C2293"/>
  <c r="D2334"/>
  <c r="C2334"/>
  <c r="D2282"/>
  <c r="C2282"/>
  <c r="D2308"/>
  <c r="C2308"/>
  <c r="D2492"/>
  <c r="C2492"/>
  <c r="D2433"/>
  <c r="C2433"/>
  <c r="D2309"/>
  <c r="C2309"/>
  <c r="D2401"/>
  <c r="C2401"/>
  <c r="D2541"/>
  <c r="C2541"/>
  <c r="D2540"/>
  <c r="C2540"/>
  <c r="D2289"/>
  <c r="C2289"/>
  <c r="D2286"/>
  <c r="C2286"/>
  <c r="D2478"/>
  <c r="C2478"/>
  <c r="D2359"/>
  <c r="C2359"/>
  <c r="D2502"/>
  <c r="C2502"/>
  <c r="D2312"/>
  <c r="C2312"/>
  <c r="D2539"/>
  <c r="C2539"/>
  <c r="D2335"/>
  <c r="C2335"/>
  <c r="D2447"/>
  <c r="C2447"/>
  <c r="D2294"/>
  <c r="C2294"/>
  <c r="D2353"/>
  <c r="C2353"/>
  <c r="D2392"/>
  <c r="C2392"/>
  <c r="D2300"/>
  <c r="C2300"/>
  <c r="D2414"/>
  <c r="C2414"/>
  <c r="D2374"/>
  <c r="C2374"/>
  <c r="D2281"/>
  <c r="C2281"/>
  <c r="D2311"/>
  <c r="C2311"/>
  <c r="D2295"/>
  <c r="C2295"/>
  <c r="D2380"/>
  <c r="C2380"/>
  <c r="D2338"/>
  <c r="C2338"/>
  <c r="D2464"/>
  <c r="C2464"/>
  <c r="D2538"/>
  <c r="C2538"/>
  <c r="D2425"/>
  <c r="C2425"/>
  <c r="D2487"/>
  <c r="C2487"/>
  <c r="D2458"/>
  <c r="C2458"/>
  <c r="D2537"/>
  <c r="C2537"/>
  <c r="D2291"/>
  <c r="C2291"/>
  <c r="D2448"/>
  <c r="C2448"/>
  <c r="D2343"/>
  <c r="C2343"/>
  <c r="D2345"/>
  <c r="C2345"/>
  <c r="D2536"/>
  <c r="C2536"/>
  <c r="D2449"/>
  <c r="C2449"/>
  <c r="D2400"/>
  <c r="C2400"/>
  <c r="D2396"/>
  <c r="C2396"/>
  <c r="D2348"/>
  <c r="C2348"/>
  <c r="D2443"/>
  <c r="C2443"/>
  <c r="D2510"/>
  <c r="C2510"/>
  <c r="D2535"/>
  <c r="C2535"/>
  <c r="D2389"/>
  <c r="C2389"/>
  <c r="D2360"/>
  <c r="C2360"/>
  <c r="D2298"/>
  <c r="C2298"/>
  <c r="D2384"/>
  <c r="C2384"/>
  <c r="D2534"/>
  <c r="C2534"/>
  <c r="D2533"/>
  <c r="C2533"/>
  <c r="D2503"/>
  <c r="C2503"/>
  <c r="D2532"/>
  <c r="C2532"/>
  <c r="D2434"/>
  <c r="C2434"/>
  <c r="D2314"/>
  <c r="C2314"/>
  <c r="D2531"/>
  <c r="C2531"/>
  <c r="D2428"/>
  <c r="C2428"/>
  <c r="D2432"/>
  <c r="C2432"/>
  <c r="D2530"/>
  <c r="C2530"/>
  <c r="D2482"/>
  <c r="C2482"/>
  <c r="D2416"/>
  <c r="C2416"/>
  <c r="D2469"/>
  <c r="C2469"/>
  <c r="D2402"/>
  <c r="C2402"/>
  <c r="D2340"/>
  <c r="C2340"/>
  <c r="D2497"/>
  <c r="C2497"/>
  <c r="D2529"/>
  <c r="C2529"/>
  <c r="D2474"/>
  <c r="C2474"/>
  <c r="D2485"/>
  <c r="C2485"/>
  <c r="D2528"/>
  <c r="C2528"/>
  <c r="D2366"/>
  <c r="C2366"/>
  <c r="D2421"/>
  <c r="C2421"/>
  <c r="D2297"/>
  <c r="C2297"/>
  <c r="D2435"/>
  <c r="C2435"/>
  <c r="D2336"/>
  <c r="C2336"/>
  <c r="D2527"/>
  <c r="C2527"/>
  <c r="D2418"/>
  <c r="C2418"/>
  <c r="D2444"/>
  <c r="C2444"/>
  <c r="D2488"/>
  <c r="C2488"/>
  <c r="D2365"/>
  <c r="C2365"/>
  <c r="D2306"/>
  <c r="C2306"/>
  <c r="D2339"/>
  <c r="C2339"/>
  <c r="D2480"/>
  <c r="C2480"/>
  <c r="D2495"/>
  <c r="C2495"/>
  <c r="D2307"/>
  <c r="C2307"/>
  <c r="D2450"/>
  <c r="C2450"/>
  <c r="D2498"/>
  <c r="C2498"/>
  <c r="D2526"/>
  <c r="C2526"/>
  <c r="D2476"/>
  <c r="C2476"/>
  <c r="D2457"/>
  <c r="C2457"/>
  <c r="D2381"/>
  <c r="C2381"/>
  <c r="D2341"/>
  <c r="C2341"/>
  <c r="D2420"/>
  <c r="C2420"/>
  <c r="D2422"/>
  <c r="C2422"/>
  <c r="D2413"/>
  <c r="C2413"/>
  <c r="D2446"/>
  <c r="C2446"/>
  <c r="D2324"/>
  <c r="C2324"/>
  <c r="D2302"/>
  <c r="C2302"/>
  <c r="D2342"/>
  <c r="C2342"/>
  <c r="D2525"/>
  <c r="C2525"/>
  <c r="D2466"/>
  <c r="C2466"/>
  <c r="D2473"/>
  <c r="C2473"/>
  <c r="D2439"/>
  <c r="C2439"/>
  <c r="D2403"/>
  <c r="C2403"/>
  <c r="D2462"/>
  <c r="C2462"/>
  <c r="D2472"/>
  <c r="C2472"/>
  <c r="D2445"/>
  <c r="C2445"/>
  <c r="D2524"/>
  <c r="C2524"/>
  <c r="D2299"/>
  <c r="C2299"/>
  <c r="D2367"/>
  <c r="C2367"/>
  <c r="D2328"/>
  <c r="C2328"/>
  <c r="D2456"/>
  <c r="C2456"/>
  <c r="D2506"/>
  <c r="C2506"/>
  <c r="D2463"/>
  <c r="C2463"/>
  <c r="D2372"/>
  <c r="C2372"/>
  <c r="D2310"/>
  <c r="C2310"/>
  <c r="D2398"/>
  <c r="C2398"/>
  <c r="D2323"/>
  <c r="C2323"/>
  <c r="D2523"/>
  <c r="C2523"/>
  <c r="D2427"/>
  <c r="C2427"/>
  <c r="D2522"/>
  <c r="C2522"/>
  <c r="D2521"/>
  <c r="C2521"/>
  <c r="D2520"/>
  <c r="C2520"/>
  <c r="D2465"/>
  <c r="C2465"/>
  <c r="D2519"/>
  <c r="C2519"/>
  <c r="D2346"/>
  <c r="C2346"/>
  <c r="D2518"/>
  <c r="C2518"/>
  <c r="D2501"/>
  <c r="C2501"/>
  <c r="D2455"/>
  <c r="C2455"/>
  <c r="D2319"/>
  <c r="C2319"/>
  <c r="D2517"/>
  <c r="C2517"/>
  <c r="D2397"/>
  <c r="C2397"/>
  <c r="D2287"/>
  <c r="C2287"/>
  <c r="D2516"/>
  <c r="C2516"/>
  <c r="D2358"/>
  <c r="C2358"/>
  <c r="D2352"/>
  <c r="C2352"/>
  <c r="D2460"/>
  <c r="C2460"/>
  <c r="D2419"/>
  <c r="C2419"/>
  <c r="D2508"/>
  <c r="C2508"/>
  <c r="D2407"/>
  <c r="C2407"/>
  <c r="D2453"/>
  <c r="C2453"/>
  <c r="D2496"/>
  <c r="C2496"/>
  <c r="D2467"/>
  <c r="C2467"/>
  <c r="D2301"/>
  <c r="C2301"/>
  <c r="D2411"/>
  <c r="C2411"/>
  <c r="D2364"/>
  <c r="C2364"/>
  <c r="D2356"/>
  <c r="C2356"/>
  <c r="D2361"/>
  <c r="C2361"/>
  <c r="D2515"/>
  <c r="C2515"/>
  <c r="D2317"/>
  <c r="C2317"/>
  <c r="D2347"/>
  <c r="C2347"/>
  <c r="D2514"/>
  <c r="C2514"/>
  <c r="D2468"/>
  <c r="C2468"/>
  <c r="D2513"/>
  <c r="C2513"/>
  <c r="D2471"/>
  <c r="C2471"/>
  <c r="D2512"/>
  <c r="C2512"/>
  <c r="D2280"/>
  <c r="C2280"/>
  <c r="D2279"/>
  <c r="C2279"/>
  <c r="D2228"/>
  <c r="C2228"/>
  <c r="D2191"/>
  <c r="C2191"/>
  <c r="D2278"/>
  <c r="C2278"/>
  <c r="D2277"/>
  <c r="C2277"/>
  <c r="D2156"/>
  <c r="C2156"/>
  <c r="D2276"/>
  <c r="C2276"/>
  <c r="D2200"/>
  <c r="C2200"/>
  <c r="D2129"/>
  <c r="C2129"/>
  <c r="D2275"/>
  <c r="C2275"/>
  <c r="D2173"/>
  <c r="C2173"/>
  <c r="D2119"/>
  <c r="C2119"/>
  <c r="D2274"/>
  <c r="C2274"/>
  <c r="D2194"/>
  <c r="C2194"/>
  <c r="D2219"/>
  <c r="C2219"/>
  <c r="D2155"/>
  <c r="C2155"/>
  <c r="D2273"/>
  <c r="C2273"/>
  <c r="D2272"/>
  <c r="C2272"/>
  <c r="D2204"/>
  <c r="C2204"/>
  <c r="D2271"/>
  <c r="C2271"/>
  <c r="D2270"/>
  <c r="C2270"/>
  <c r="D2269"/>
  <c r="C2269"/>
  <c r="D2183"/>
  <c r="C2183"/>
  <c r="D2210"/>
  <c r="C2210"/>
  <c r="D2154"/>
  <c r="C2154"/>
  <c r="D2268"/>
  <c r="C2268"/>
  <c r="D2148"/>
  <c r="C2148"/>
  <c r="D2132"/>
  <c r="C2132"/>
  <c r="D2267"/>
  <c r="C2267"/>
  <c r="D2180"/>
  <c r="C2180"/>
  <c r="D2162"/>
  <c r="C2162"/>
  <c r="D2266"/>
  <c r="C2266"/>
  <c r="D2134"/>
  <c r="C2134"/>
  <c r="D2120"/>
  <c r="C2120"/>
  <c r="D2212"/>
  <c r="C2212"/>
  <c r="D2141"/>
  <c r="C2141"/>
  <c r="D2265"/>
  <c r="C2265"/>
  <c r="D2187"/>
  <c r="C2187"/>
  <c r="D2198"/>
  <c r="C2198"/>
  <c r="D2264"/>
  <c r="C2264"/>
  <c r="D2263"/>
  <c r="C2263"/>
  <c r="D2172"/>
  <c r="C2172"/>
  <c r="D2181"/>
  <c r="C2181"/>
  <c r="D2262"/>
  <c r="C2262"/>
  <c r="D2124"/>
  <c r="C2124"/>
  <c r="D2213"/>
  <c r="C2213"/>
  <c r="D2227"/>
  <c r="C2227"/>
  <c r="D2217"/>
  <c r="C2217"/>
  <c r="D2197"/>
  <c r="C2197"/>
  <c r="D2229"/>
  <c r="C2229"/>
  <c r="D2261"/>
  <c r="C2261"/>
  <c r="D2150"/>
  <c r="C2150"/>
  <c r="D2177"/>
  <c r="C2177"/>
  <c r="D2182"/>
  <c r="C2182"/>
  <c r="D2207"/>
  <c r="C2207"/>
  <c r="D2205"/>
  <c r="C2205"/>
  <c r="D2260"/>
  <c r="C2260"/>
  <c r="D2188"/>
  <c r="C2188"/>
  <c r="D2179"/>
  <c r="C2179"/>
  <c r="D2142"/>
  <c r="C2142"/>
  <c r="D2144"/>
  <c r="C2144"/>
  <c r="D2206"/>
  <c r="C2206"/>
  <c r="D2126"/>
  <c r="C2126"/>
  <c r="D2153"/>
  <c r="C2153"/>
  <c r="D2170"/>
  <c r="C2170"/>
  <c r="D2259"/>
  <c r="C2259"/>
  <c r="D2189"/>
  <c r="C2189"/>
  <c r="D2225"/>
  <c r="C2225"/>
  <c r="D2258"/>
  <c r="C2258"/>
  <c r="D2222"/>
  <c r="C2222"/>
  <c r="D2166"/>
  <c r="C2166"/>
  <c r="D2209"/>
  <c r="C2209"/>
  <c r="D2176"/>
  <c r="C2176"/>
  <c r="D2169"/>
  <c r="C2169"/>
  <c r="D2203"/>
  <c r="C2203"/>
  <c r="D2257"/>
  <c r="C2257"/>
  <c r="D2256"/>
  <c r="C2256"/>
  <c r="D2255"/>
  <c r="C2255"/>
  <c r="D2127"/>
  <c r="C2127"/>
  <c r="D2196"/>
  <c r="C2196"/>
  <c r="D2254"/>
  <c r="C2254"/>
  <c r="D2253"/>
  <c r="C2253"/>
  <c r="D2252"/>
  <c r="C2252"/>
  <c r="D2251"/>
  <c r="C2251"/>
  <c r="D2147"/>
  <c r="C2147"/>
  <c r="D2131"/>
  <c r="C2131"/>
  <c r="D2164"/>
  <c r="C2164"/>
  <c r="D2220"/>
  <c r="C2220"/>
  <c r="D2149"/>
  <c r="C2149"/>
  <c r="D2165"/>
  <c r="C2165"/>
  <c r="D2146"/>
  <c r="C2146"/>
  <c r="D2130"/>
  <c r="C2130"/>
  <c r="D2250"/>
  <c r="C2250"/>
  <c r="D2133"/>
  <c r="C2133"/>
  <c r="D2185"/>
  <c r="C2185"/>
  <c r="D2160"/>
  <c r="C2160"/>
  <c r="D2224"/>
  <c r="C2224"/>
  <c r="D2161"/>
  <c r="C2161"/>
  <c r="D2249"/>
  <c r="C2249"/>
  <c r="D2135"/>
  <c r="C2135"/>
  <c r="D2248"/>
  <c r="C2248"/>
  <c r="D2247"/>
  <c r="C2247"/>
  <c r="D2158"/>
  <c r="C2158"/>
  <c r="D2192"/>
  <c r="C2192"/>
  <c r="D2246"/>
  <c r="C2246"/>
  <c r="D2123"/>
  <c r="C2123"/>
  <c r="D2245"/>
  <c r="C2245"/>
  <c r="D2244"/>
  <c r="C2244"/>
  <c r="D2184"/>
  <c r="C2184"/>
  <c r="D2215"/>
  <c r="C2215"/>
  <c r="D2243"/>
  <c r="C2243"/>
  <c r="D2143"/>
  <c r="C2143"/>
  <c r="D2242"/>
  <c r="C2242"/>
  <c r="D2174"/>
  <c r="C2174"/>
  <c r="D2241"/>
  <c r="C2241"/>
  <c r="D2151"/>
  <c r="C2151"/>
  <c r="D2139"/>
  <c r="C2139"/>
  <c r="D2221"/>
  <c r="C2221"/>
  <c r="D2122"/>
  <c r="C2122"/>
  <c r="D2240"/>
  <c r="C2240"/>
  <c r="D2175"/>
  <c r="C2175"/>
  <c r="D2211"/>
  <c r="C2211"/>
  <c r="D2239"/>
  <c r="C2239"/>
  <c r="D2125"/>
  <c r="C2125"/>
  <c r="D2193"/>
  <c r="C2193"/>
  <c r="D2159"/>
  <c r="C2159"/>
  <c r="D2214"/>
  <c r="C2214"/>
  <c r="D2238"/>
  <c r="C2238"/>
  <c r="D2171"/>
  <c r="C2171"/>
  <c r="D2137"/>
  <c r="C2137"/>
  <c r="D2237"/>
  <c r="C2237"/>
  <c r="D2167"/>
  <c r="C2167"/>
  <c r="D2168"/>
  <c r="C2168"/>
  <c r="D2208"/>
  <c r="C2208"/>
  <c r="D2226"/>
  <c r="C2226"/>
  <c r="D2163"/>
  <c r="C2163"/>
  <c r="D2136"/>
  <c r="C2136"/>
  <c r="D2236"/>
  <c r="C2236"/>
  <c r="D2157"/>
  <c r="C2157"/>
  <c r="D2128"/>
  <c r="C2128"/>
  <c r="D2235"/>
  <c r="C2235"/>
  <c r="D2201"/>
  <c r="C2201"/>
  <c r="D2202"/>
  <c r="C2202"/>
  <c r="D2234"/>
  <c r="C2234"/>
  <c r="D2233"/>
  <c r="C2233"/>
  <c r="D2152"/>
  <c r="C2152"/>
  <c r="D2223"/>
  <c r="C2223"/>
  <c r="D2218"/>
  <c r="C2218"/>
  <c r="D2232"/>
  <c r="C2232"/>
  <c r="D2178"/>
  <c r="C2178"/>
  <c r="D2231"/>
  <c r="C2231"/>
  <c r="D2138"/>
  <c r="C2138"/>
  <c r="D2186"/>
  <c r="C2186"/>
  <c r="D2195"/>
  <c r="C2195"/>
  <c r="D2145"/>
  <c r="C2145"/>
  <c r="D2230"/>
  <c r="C2230"/>
  <c r="D2216"/>
  <c r="C2216"/>
  <c r="D2190"/>
  <c r="C2190"/>
  <c r="D2140"/>
  <c r="C2140"/>
  <c r="D2199"/>
  <c r="C2199"/>
  <c r="D2121"/>
  <c r="C2121"/>
  <c r="D1780"/>
  <c r="C1780"/>
  <c r="D1801"/>
  <c r="C1801"/>
  <c r="D1958"/>
  <c r="C1958"/>
  <c r="D1791"/>
  <c r="C1791"/>
  <c r="D1831"/>
  <c r="C1831"/>
  <c r="D1992"/>
  <c r="C1992"/>
  <c r="D1981"/>
  <c r="C1981"/>
  <c r="D2003"/>
  <c r="C2003"/>
  <c r="D1943"/>
  <c r="C1943"/>
  <c r="D1808"/>
  <c r="C1808"/>
  <c r="D2018"/>
  <c r="C2018"/>
  <c r="D1893"/>
  <c r="C1893"/>
  <c r="D2118"/>
  <c r="C2118"/>
  <c r="D1773"/>
  <c r="C1773"/>
  <c r="D1986"/>
  <c r="C1986"/>
  <c r="D2117"/>
  <c r="C2117"/>
  <c r="D2116"/>
  <c r="C2116"/>
  <c r="D2115"/>
  <c r="C2115"/>
  <c r="D1984"/>
  <c r="C1984"/>
  <c r="D1932"/>
  <c r="C1932"/>
  <c r="D1917"/>
  <c r="C1917"/>
  <c r="D2114"/>
  <c r="C2114"/>
  <c r="D1953"/>
  <c r="C1953"/>
  <c r="D1797"/>
  <c r="C1797"/>
  <c r="D2113"/>
  <c r="C2113"/>
  <c r="D2112"/>
  <c r="C2112"/>
  <c r="D1805"/>
  <c r="C1805"/>
  <c r="D2111"/>
  <c r="C2111"/>
  <c r="D2110"/>
  <c r="C2110"/>
  <c r="D1862"/>
  <c r="C1862"/>
  <c r="D2019"/>
  <c r="C2019"/>
  <c r="D2109"/>
  <c r="C2109"/>
  <c r="D1782"/>
  <c r="C1782"/>
  <c r="D1966"/>
  <c r="C1966"/>
  <c r="D1815"/>
  <c r="C1815"/>
  <c r="D2108"/>
  <c r="C2108"/>
  <c r="D1789"/>
  <c r="C1789"/>
  <c r="D2107"/>
  <c r="C2107"/>
  <c r="D1936"/>
  <c r="C1936"/>
  <c r="D2106"/>
  <c r="C2106"/>
  <c r="D2105"/>
  <c r="C2105"/>
  <c r="D2104"/>
  <c r="C2104"/>
  <c r="D1884"/>
  <c r="C1884"/>
  <c r="D1818"/>
  <c r="C1818"/>
  <c r="D2103"/>
  <c r="C2103"/>
  <c r="D1927"/>
  <c r="C1927"/>
  <c r="D1959"/>
  <c r="C1959"/>
  <c r="D1777"/>
  <c r="C1777"/>
  <c r="D1931"/>
  <c r="C1931"/>
  <c r="D1949"/>
  <c r="C1949"/>
  <c r="D1902"/>
  <c r="C1902"/>
  <c r="D2102"/>
  <c r="C2102"/>
  <c r="D1871"/>
  <c r="C1871"/>
  <c r="D2101"/>
  <c r="C2101"/>
  <c r="D2100"/>
  <c r="C2100"/>
  <c r="D1964"/>
  <c r="C1964"/>
  <c r="D2099"/>
  <c r="C2099"/>
  <c r="D1811"/>
  <c r="C1811"/>
  <c r="D1940"/>
  <c r="C1940"/>
  <c r="D1988"/>
  <c r="C1988"/>
  <c r="D1878"/>
  <c r="C1878"/>
  <c r="D2014"/>
  <c r="C2014"/>
  <c r="D1830"/>
  <c r="C1830"/>
  <c r="D2098"/>
  <c r="C2098"/>
  <c r="D2097"/>
  <c r="C2097"/>
  <c r="D1800"/>
  <c r="C1800"/>
  <c r="D1983"/>
  <c r="C1983"/>
  <c r="D1783"/>
  <c r="C1783"/>
  <c r="D1799"/>
  <c r="C1799"/>
  <c r="D1882"/>
  <c r="C1882"/>
  <c r="D1889"/>
  <c r="C1889"/>
  <c r="D1867"/>
  <c r="C1867"/>
  <c r="D2096"/>
  <c r="C2096"/>
  <c r="D2095"/>
  <c r="C2095"/>
  <c r="D1866"/>
  <c r="C1866"/>
  <c r="D2094"/>
  <c r="C2094"/>
  <c r="D1816"/>
  <c r="C1816"/>
  <c r="D1881"/>
  <c r="C1881"/>
  <c r="D2093"/>
  <c r="C2093"/>
  <c r="D2012"/>
  <c r="C2012"/>
  <c r="D1817"/>
  <c r="C1817"/>
  <c r="D2092"/>
  <c r="C2092"/>
  <c r="D1906"/>
  <c r="C1906"/>
  <c r="D1912"/>
  <c r="C1912"/>
  <c r="D1977"/>
  <c r="C1977"/>
  <c r="D1951"/>
  <c r="C1951"/>
  <c r="D1993"/>
  <c r="C1993"/>
  <c r="D2091"/>
  <c r="C2091"/>
  <c r="D2090"/>
  <c r="C2090"/>
  <c r="D2089"/>
  <c r="C2089"/>
  <c r="D2088"/>
  <c r="C2088"/>
  <c r="D1892"/>
  <c r="C1892"/>
  <c r="D1853"/>
  <c r="C1853"/>
  <c r="D1879"/>
  <c r="C1879"/>
  <c r="D2087"/>
  <c r="C2087"/>
  <c r="D1824"/>
  <c r="C1824"/>
  <c r="D2086"/>
  <c r="C2086"/>
  <c r="D2085"/>
  <c r="C2085"/>
  <c r="D2084"/>
  <c r="C2084"/>
  <c r="D1939"/>
  <c r="C1939"/>
  <c r="D1894"/>
  <c r="C1894"/>
  <c r="D1973"/>
  <c r="C1973"/>
  <c r="D1905"/>
  <c r="C1905"/>
  <c r="D1792"/>
  <c r="C1792"/>
  <c r="D1930"/>
  <c r="C1930"/>
  <c r="D1997"/>
  <c r="C1997"/>
  <c r="D1813"/>
  <c r="C1813"/>
  <c r="D2083"/>
  <c r="C2083"/>
  <c r="D1849"/>
  <c r="C1849"/>
  <c r="D2082"/>
  <c r="C2082"/>
  <c r="D2081"/>
  <c r="C2081"/>
  <c r="D2080"/>
  <c r="C2080"/>
  <c r="D1820"/>
  <c r="C1820"/>
  <c r="D2079"/>
  <c r="C2079"/>
  <c r="D2078"/>
  <c r="C2078"/>
  <c r="D1810"/>
  <c r="C1810"/>
  <c r="D2077"/>
  <c r="C2077"/>
  <c r="D1819"/>
  <c r="C1819"/>
  <c r="D1840"/>
  <c r="C1840"/>
  <c r="D1850"/>
  <c r="C1850"/>
  <c r="D2076"/>
  <c r="C2076"/>
  <c r="D2075"/>
  <c r="C2075"/>
  <c r="D1859"/>
  <c r="C1859"/>
  <c r="D1974"/>
  <c r="C1974"/>
  <c r="D1999"/>
  <c r="C1999"/>
  <c r="D2074"/>
  <c r="C2074"/>
  <c r="D2073"/>
  <c r="C2073"/>
  <c r="D1938"/>
  <c r="C1938"/>
  <c r="D1814"/>
  <c r="C1814"/>
  <c r="D1775"/>
  <c r="C1775"/>
  <c r="D1772"/>
  <c r="C1772"/>
  <c r="D2017"/>
  <c r="C2017"/>
  <c r="D1915"/>
  <c r="C1915"/>
  <c r="D2007"/>
  <c r="C2007"/>
  <c r="D1926"/>
  <c r="C1926"/>
  <c r="D1887"/>
  <c r="C1887"/>
  <c r="D1842"/>
  <c r="C1842"/>
  <c r="D1776"/>
  <c r="C1776"/>
  <c r="D1908"/>
  <c r="C1908"/>
  <c r="D2072"/>
  <c r="C2072"/>
  <c r="D1925"/>
  <c r="C1925"/>
  <c r="D1795"/>
  <c r="C1795"/>
  <c r="D1956"/>
  <c r="C1956"/>
  <c r="D1934"/>
  <c r="C1934"/>
  <c r="D2008"/>
  <c r="C2008"/>
  <c r="D2071"/>
  <c r="C2071"/>
  <c r="D1833"/>
  <c r="C1833"/>
  <c r="D1935"/>
  <c r="C1935"/>
  <c r="D1876"/>
  <c r="C1876"/>
  <c r="D1947"/>
  <c r="C1947"/>
  <c r="D1978"/>
  <c r="C1978"/>
  <c r="D2070"/>
  <c r="C2070"/>
  <c r="D2069"/>
  <c r="C2069"/>
  <c r="D2016"/>
  <c r="C2016"/>
  <c r="D1798"/>
  <c r="C1798"/>
  <c r="D2068"/>
  <c r="C2068"/>
  <c r="D2067"/>
  <c r="C2067"/>
  <c r="D2066"/>
  <c r="C2066"/>
  <c r="D2065"/>
  <c r="C2065"/>
  <c r="D1968"/>
  <c r="C1968"/>
  <c r="D1897"/>
  <c r="C1897"/>
  <c r="D1793"/>
  <c r="C1793"/>
  <c r="D1985"/>
  <c r="C1985"/>
  <c r="D2064"/>
  <c r="C2064"/>
  <c r="D2063"/>
  <c r="C2063"/>
  <c r="D1923"/>
  <c r="C1923"/>
  <c r="D1880"/>
  <c r="C1880"/>
  <c r="D1869"/>
  <c r="C1869"/>
  <c r="D1779"/>
  <c r="C1779"/>
  <c r="D1961"/>
  <c r="C1961"/>
  <c r="D1837"/>
  <c r="C1837"/>
  <c r="D1963"/>
  <c r="C1963"/>
  <c r="D2013"/>
  <c r="C2013"/>
  <c r="D1804"/>
  <c r="C1804"/>
  <c r="D1962"/>
  <c r="C1962"/>
  <c r="D1924"/>
  <c r="C1924"/>
  <c r="D2020"/>
  <c r="C2020"/>
  <c r="D1899"/>
  <c r="C1899"/>
  <c r="D2062"/>
  <c r="C2062"/>
  <c r="D2061"/>
  <c r="C2061"/>
  <c r="D1982"/>
  <c r="C1982"/>
  <c r="D2060"/>
  <c r="C2060"/>
  <c r="D2059"/>
  <c r="C2059"/>
  <c r="D1971"/>
  <c r="C1971"/>
  <c r="D1873"/>
  <c r="C1873"/>
  <c r="D1827"/>
  <c r="C1827"/>
  <c r="D2058"/>
  <c r="C2058"/>
  <c r="D1996"/>
  <c r="C1996"/>
  <c r="D1809"/>
  <c r="C1809"/>
  <c r="D1900"/>
  <c r="C1900"/>
  <c r="D1838"/>
  <c r="C1838"/>
  <c r="D1839"/>
  <c r="C1839"/>
  <c r="D1980"/>
  <c r="C1980"/>
  <c r="D1852"/>
  <c r="C1852"/>
  <c r="D1861"/>
  <c r="C1861"/>
  <c r="D2001"/>
  <c r="C2001"/>
  <c r="D1901"/>
  <c r="C1901"/>
  <c r="D2057"/>
  <c r="C2057"/>
  <c r="D1803"/>
  <c r="C1803"/>
  <c r="D1933"/>
  <c r="C1933"/>
  <c r="D1941"/>
  <c r="C1941"/>
  <c r="D2011"/>
  <c r="C2011"/>
  <c r="D1828"/>
  <c r="C1828"/>
  <c r="D2002"/>
  <c r="C2002"/>
  <c r="D1826"/>
  <c r="C1826"/>
  <c r="D1911"/>
  <c r="C1911"/>
  <c r="D2015"/>
  <c r="C2015"/>
  <c r="D1957"/>
  <c r="C1957"/>
  <c r="D1944"/>
  <c r="C1944"/>
  <c r="D2056"/>
  <c r="C2056"/>
  <c r="D1858"/>
  <c r="C1858"/>
  <c r="D1846"/>
  <c r="C1846"/>
  <c r="D2055"/>
  <c r="C2055"/>
  <c r="D1829"/>
  <c r="C1829"/>
  <c r="D1802"/>
  <c r="C1802"/>
  <c r="D1976"/>
  <c r="C1976"/>
  <c r="D1929"/>
  <c r="C1929"/>
  <c r="D1854"/>
  <c r="C1854"/>
  <c r="D1848"/>
  <c r="C1848"/>
  <c r="D2010"/>
  <c r="C2010"/>
  <c r="D2054"/>
  <c r="C2054"/>
  <c r="D2023"/>
  <c r="C2023"/>
  <c r="D1987"/>
  <c r="C1987"/>
  <c r="D2053"/>
  <c r="C2053"/>
  <c r="D1991"/>
  <c r="C1991"/>
  <c r="D2022"/>
  <c r="C2022"/>
  <c r="D1888"/>
  <c r="C1888"/>
  <c r="D1975"/>
  <c r="C1975"/>
  <c r="D1771"/>
  <c r="C1771"/>
  <c r="D1877"/>
  <c r="C1877"/>
  <c r="D2009"/>
  <c r="C2009"/>
  <c r="D2052"/>
  <c r="C2052"/>
  <c r="D1855"/>
  <c r="C1855"/>
  <c r="D1946"/>
  <c r="C1946"/>
  <c r="D1784"/>
  <c r="C1784"/>
  <c r="D1960"/>
  <c r="C1960"/>
  <c r="D1883"/>
  <c r="C1883"/>
  <c r="D1950"/>
  <c r="C1950"/>
  <c r="D1860"/>
  <c r="C1860"/>
  <c r="D1972"/>
  <c r="C1972"/>
  <c r="D2021"/>
  <c r="C2021"/>
  <c r="D1945"/>
  <c r="C1945"/>
  <c r="D1794"/>
  <c r="C1794"/>
  <c r="D1896"/>
  <c r="C1896"/>
  <c r="D1910"/>
  <c r="C1910"/>
  <c r="D1895"/>
  <c r="C1895"/>
  <c r="D2051"/>
  <c r="C2051"/>
  <c r="D1922"/>
  <c r="C1922"/>
  <c r="D1989"/>
  <c r="C1989"/>
  <c r="D1998"/>
  <c r="C1998"/>
  <c r="D1787"/>
  <c r="C1787"/>
  <c r="D1864"/>
  <c r="C1864"/>
  <c r="D1823"/>
  <c r="C1823"/>
  <c r="D1965"/>
  <c r="C1965"/>
  <c r="D1970"/>
  <c r="C1970"/>
  <c r="D2050"/>
  <c r="C2050"/>
  <c r="D2049"/>
  <c r="C2049"/>
  <c r="D1891"/>
  <c r="C1891"/>
  <c r="D1994"/>
  <c r="C1994"/>
  <c r="D1918"/>
  <c r="C1918"/>
  <c r="D1778"/>
  <c r="C1778"/>
  <c r="D1948"/>
  <c r="C1948"/>
  <c r="D1870"/>
  <c r="C1870"/>
  <c r="D1847"/>
  <c r="C1847"/>
  <c r="D1919"/>
  <c r="C1919"/>
  <c r="D1969"/>
  <c r="C1969"/>
  <c r="D1790"/>
  <c r="C1790"/>
  <c r="D1807"/>
  <c r="C1807"/>
  <c r="D1921"/>
  <c r="C1921"/>
  <c r="D1885"/>
  <c r="C1885"/>
  <c r="D2000"/>
  <c r="C2000"/>
  <c r="D1942"/>
  <c r="C1942"/>
  <c r="D2048"/>
  <c r="C2048"/>
  <c r="D2005"/>
  <c r="C2005"/>
  <c r="D1857"/>
  <c r="C1857"/>
  <c r="D2047"/>
  <c r="C2047"/>
  <c r="D1954"/>
  <c r="C1954"/>
  <c r="D1967"/>
  <c r="C1967"/>
  <c r="D2024"/>
  <c r="C2024"/>
  <c r="D1865"/>
  <c r="C1865"/>
  <c r="D2046"/>
  <c r="C2046"/>
  <c r="D1907"/>
  <c r="C1907"/>
  <c r="D1821"/>
  <c r="C1821"/>
  <c r="D1868"/>
  <c r="C1868"/>
  <c r="D1806"/>
  <c r="C1806"/>
  <c r="D1914"/>
  <c r="C1914"/>
  <c r="D1995"/>
  <c r="C1995"/>
  <c r="D1898"/>
  <c r="C1898"/>
  <c r="D2045"/>
  <c r="C2045"/>
  <c r="D1875"/>
  <c r="C1875"/>
  <c r="D1781"/>
  <c r="C1781"/>
  <c r="D1841"/>
  <c r="C1841"/>
  <c r="D1955"/>
  <c r="C1955"/>
  <c r="D1851"/>
  <c r="C1851"/>
  <c r="D1845"/>
  <c r="C1845"/>
  <c r="D1913"/>
  <c r="C1913"/>
  <c r="D2006"/>
  <c r="C2006"/>
  <c r="D1836"/>
  <c r="C1836"/>
  <c r="D2044"/>
  <c r="C2044"/>
  <c r="D2043"/>
  <c r="C2043"/>
  <c r="D1843"/>
  <c r="C1843"/>
  <c r="D2042"/>
  <c r="C2042"/>
  <c r="D2041"/>
  <c r="C2041"/>
  <c r="D1863"/>
  <c r="C1863"/>
  <c r="D1844"/>
  <c r="C1844"/>
  <c r="D1788"/>
  <c r="C1788"/>
  <c r="D2040"/>
  <c r="C2040"/>
  <c r="D1812"/>
  <c r="C1812"/>
  <c r="D2039"/>
  <c r="C2039"/>
  <c r="D1835"/>
  <c r="C1835"/>
  <c r="D1952"/>
  <c r="C1952"/>
  <c r="D2038"/>
  <c r="C2038"/>
  <c r="D2037"/>
  <c r="C2037"/>
  <c r="D2036"/>
  <c r="C2036"/>
  <c r="D2035"/>
  <c r="C2035"/>
  <c r="D1928"/>
  <c r="C1928"/>
  <c r="D1937"/>
  <c r="C1937"/>
  <c r="D1822"/>
  <c r="C1822"/>
  <c r="D2034"/>
  <c r="C2034"/>
  <c r="D1856"/>
  <c r="C1856"/>
  <c r="D1825"/>
  <c r="C1825"/>
  <c r="D2033"/>
  <c r="C2033"/>
  <c r="D1886"/>
  <c r="C1886"/>
  <c r="D1990"/>
  <c r="C1990"/>
  <c r="D2032"/>
  <c r="C2032"/>
  <c r="D1832"/>
  <c r="C1832"/>
  <c r="D2031"/>
  <c r="C2031"/>
  <c r="D1774"/>
  <c r="C1774"/>
  <c r="D1834"/>
  <c r="C1834"/>
  <c r="D1786"/>
  <c r="C1786"/>
  <c r="D2030"/>
  <c r="C2030"/>
  <c r="D1916"/>
  <c r="C1916"/>
  <c r="D2029"/>
  <c r="C2029"/>
  <c r="D2028"/>
  <c r="C2028"/>
  <c r="D1874"/>
  <c r="C1874"/>
  <c r="D2027"/>
  <c r="C2027"/>
  <c r="D1909"/>
  <c r="C1909"/>
  <c r="D2004"/>
  <c r="C2004"/>
  <c r="D1979"/>
  <c r="C1979"/>
  <c r="D2026"/>
  <c r="C2026"/>
  <c r="D1904"/>
  <c r="C1904"/>
  <c r="D1785"/>
  <c r="C1785"/>
  <c r="D1796"/>
  <c r="C1796"/>
  <c r="D1903"/>
  <c r="C1903"/>
  <c r="D2025"/>
  <c r="C2025"/>
  <c r="D1872"/>
  <c r="C1872"/>
  <c r="D1920"/>
  <c r="C1920"/>
  <c r="D1890"/>
  <c r="C1890"/>
  <c r="D1770"/>
  <c r="C1770"/>
  <c r="D1752"/>
  <c r="C1752"/>
  <c r="D1758"/>
  <c r="C1758"/>
  <c r="D1769"/>
  <c r="C1769"/>
  <c r="D1764"/>
  <c r="C1764"/>
  <c r="D1750"/>
  <c r="C1750"/>
  <c r="D1760"/>
  <c r="C1760"/>
  <c r="D1747"/>
  <c r="C1747"/>
  <c r="D1762"/>
  <c r="C1762"/>
  <c r="D1768"/>
  <c r="C1768"/>
  <c r="D1759"/>
  <c r="C1759"/>
  <c r="D1767"/>
  <c r="C1767"/>
  <c r="D1755"/>
  <c r="C1755"/>
  <c r="D1754"/>
  <c r="C1754"/>
  <c r="D1753"/>
  <c r="C1753"/>
  <c r="D1751"/>
  <c r="C1751"/>
  <c r="D1746"/>
  <c r="C1746"/>
  <c r="D1749"/>
  <c r="C1749"/>
  <c r="D1757"/>
  <c r="C1757"/>
  <c r="D1763"/>
  <c r="C1763"/>
  <c r="D1756"/>
  <c r="C1756"/>
  <c r="D1766"/>
  <c r="C1766"/>
  <c r="D1748"/>
  <c r="C1748"/>
  <c r="D1761"/>
  <c r="C1761"/>
  <c r="D1765"/>
  <c r="C1765"/>
  <c r="D1665"/>
  <c r="C1665"/>
  <c r="D1688"/>
  <c r="C1688"/>
  <c r="D1661"/>
  <c r="C1661"/>
  <c r="D1660"/>
  <c r="C1660"/>
  <c r="D1700"/>
  <c r="C1700"/>
  <c r="D1717"/>
  <c r="C1717"/>
  <c r="D1697"/>
  <c r="C1697"/>
  <c r="D1683"/>
  <c r="C1683"/>
  <c r="D1716"/>
  <c r="C1716"/>
  <c r="D1693"/>
  <c r="C1693"/>
  <c r="D1662"/>
  <c r="C1662"/>
  <c r="D1682"/>
  <c r="C1682"/>
  <c r="D1715"/>
  <c r="C1715"/>
  <c r="D1684"/>
  <c r="C1684"/>
  <c r="D1674"/>
  <c r="C1674"/>
  <c r="D1696"/>
  <c r="C1696"/>
  <c r="D1699"/>
  <c r="C1699"/>
  <c r="D1666"/>
  <c r="C1666"/>
  <c r="D1675"/>
  <c r="C1675"/>
  <c r="D1714"/>
  <c r="C1714"/>
  <c r="D1713"/>
  <c r="C1713"/>
  <c r="D1667"/>
  <c r="C1667"/>
  <c r="D1712"/>
  <c r="C1712"/>
  <c r="D1664"/>
  <c r="C1664"/>
  <c r="D1711"/>
  <c r="C1711"/>
  <c r="D1702"/>
  <c r="C1702"/>
  <c r="D1672"/>
  <c r="C1672"/>
  <c r="D1663"/>
  <c r="C1663"/>
  <c r="D1710"/>
  <c r="C1710"/>
  <c r="D1676"/>
  <c r="C1676"/>
  <c r="D1655"/>
  <c r="C1655"/>
  <c r="D1685"/>
  <c r="C1685"/>
  <c r="D1686"/>
  <c r="C1686"/>
  <c r="D1698"/>
  <c r="C1698"/>
  <c r="D1694"/>
  <c r="C1694"/>
  <c r="D1670"/>
  <c r="C1670"/>
  <c r="D1651"/>
  <c r="C1651"/>
  <c r="D1678"/>
  <c r="C1678"/>
  <c r="D1709"/>
  <c r="C1709"/>
  <c r="D1681"/>
  <c r="C1681"/>
  <c r="D1653"/>
  <c r="C1653"/>
  <c r="D1657"/>
  <c r="C1657"/>
  <c r="D1689"/>
  <c r="C1689"/>
  <c r="D1692"/>
  <c r="C1692"/>
  <c r="D1708"/>
  <c r="C1708"/>
  <c r="D1707"/>
  <c r="C1707"/>
  <c r="D1701"/>
  <c r="C1701"/>
  <c r="D1706"/>
  <c r="C1706"/>
  <c r="D1671"/>
  <c r="C1671"/>
  <c r="D1677"/>
  <c r="C1677"/>
  <c r="D1705"/>
  <c r="C1705"/>
  <c r="D1680"/>
  <c r="C1680"/>
  <c r="D1687"/>
  <c r="C1687"/>
  <c r="D1691"/>
  <c r="C1691"/>
  <c r="D1673"/>
  <c r="C1673"/>
  <c r="D1695"/>
  <c r="C1695"/>
  <c r="D1668"/>
  <c r="C1668"/>
  <c r="D1669"/>
  <c r="C1669"/>
  <c r="D1704"/>
  <c r="C1704"/>
  <c r="D1654"/>
  <c r="C1654"/>
  <c r="D1679"/>
  <c r="C1679"/>
  <c r="D1652"/>
  <c r="C1652"/>
  <c r="D1659"/>
  <c r="C1659"/>
  <c r="D1690"/>
  <c r="C1690"/>
  <c r="D1656"/>
  <c r="C1656"/>
  <c r="D1658"/>
  <c r="C1658"/>
  <c r="D1703"/>
  <c r="C1703"/>
  <c r="D1515"/>
  <c r="C1515"/>
  <c r="D1464"/>
  <c r="C1464"/>
  <c r="D1498"/>
  <c r="C1498"/>
  <c r="D1471"/>
  <c r="C1471"/>
  <c r="D1514"/>
  <c r="C1514"/>
  <c r="D1463"/>
  <c r="C1463"/>
  <c r="D1467"/>
  <c r="C1467"/>
  <c r="D1496"/>
  <c r="C1496"/>
  <c r="D1513"/>
  <c r="C1513"/>
  <c r="D1480"/>
  <c r="C1480"/>
  <c r="D1492"/>
  <c r="C1492"/>
  <c r="D1465"/>
  <c r="C1465"/>
  <c r="D1512"/>
  <c r="C1512"/>
  <c r="D1511"/>
  <c r="C1511"/>
  <c r="D1483"/>
  <c r="C1483"/>
  <c r="D1476"/>
  <c r="C1476"/>
  <c r="D1497"/>
  <c r="C1497"/>
  <c r="D1499"/>
  <c r="C1499"/>
  <c r="D1472"/>
  <c r="C1472"/>
  <c r="D1486"/>
  <c r="C1486"/>
  <c r="D1482"/>
  <c r="C1482"/>
  <c r="D1501"/>
  <c r="C1501"/>
  <c r="D1477"/>
  <c r="C1477"/>
  <c r="D1468"/>
  <c r="C1468"/>
  <c r="D1488"/>
  <c r="C1488"/>
  <c r="D1478"/>
  <c r="C1478"/>
  <c r="D1485"/>
  <c r="C1485"/>
  <c r="D1510"/>
  <c r="C1510"/>
  <c r="D1490"/>
  <c r="C1490"/>
  <c r="D1509"/>
  <c r="C1509"/>
  <c r="D1473"/>
  <c r="C1473"/>
  <c r="D1500"/>
  <c r="C1500"/>
  <c r="D1481"/>
  <c r="C1481"/>
  <c r="D1494"/>
  <c r="C1494"/>
  <c r="D1466"/>
  <c r="C1466"/>
  <c r="D1462"/>
  <c r="C1462"/>
  <c r="D1479"/>
  <c r="C1479"/>
  <c r="D1508"/>
  <c r="C1508"/>
  <c r="D1487"/>
  <c r="C1487"/>
  <c r="D1507"/>
  <c r="C1507"/>
  <c r="D1474"/>
  <c r="C1474"/>
  <c r="D1506"/>
  <c r="C1506"/>
  <c r="D1505"/>
  <c r="C1505"/>
  <c r="D1504"/>
  <c r="C1504"/>
  <c r="D1470"/>
  <c r="C1470"/>
  <c r="D1491"/>
  <c r="C1491"/>
  <c r="D1493"/>
  <c r="C1493"/>
  <c r="D1503"/>
  <c r="C1503"/>
  <c r="D1495"/>
  <c r="C1495"/>
  <c r="D1489"/>
  <c r="C1489"/>
  <c r="D1475"/>
  <c r="C1475"/>
  <c r="D1469"/>
  <c r="C1469"/>
  <c r="D1502"/>
  <c r="C1502"/>
  <c r="D1484"/>
  <c r="C1484"/>
</calcChain>
</file>

<file path=xl/sharedStrings.xml><?xml version="1.0" encoding="utf-8"?>
<sst xmlns="http://schemas.openxmlformats.org/spreadsheetml/2006/main" count="10124" uniqueCount="46">
  <si>
    <t>笔试成绩</t>
  </si>
  <si>
    <t>招聘单位</t>
  </si>
  <si>
    <t>岗位名称</t>
  </si>
  <si>
    <t>岗位代码</t>
  </si>
  <si>
    <t>准考证号</t>
  </si>
  <si>
    <t>科目一
成绩</t>
  </si>
  <si>
    <t>科目一
加分</t>
  </si>
  <si>
    <t>科目二
成绩</t>
  </si>
  <si>
    <t>科目二
加分</t>
  </si>
  <si>
    <t>镇自然资源管理所</t>
  </si>
  <si>
    <t>工作人员</t>
  </si>
  <si>
    <t>东顾山国有林场</t>
  </si>
  <si>
    <t>百花寨国有林场</t>
  </si>
  <si>
    <t>安徽合肥庐江高新区管委会</t>
  </si>
  <si>
    <t>东顾山街道所属事业单位</t>
  </si>
  <si>
    <t>工作人员A</t>
  </si>
  <si>
    <t>工作人员B</t>
  </si>
  <si>
    <t>工作人员C</t>
  </si>
  <si>
    <t>工作人员D</t>
  </si>
  <si>
    <t>岗湾街道所属事业单位</t>
  </si>
  <si>
    <t>工作人员E</t>
  </si>
  <si>
    <t>工作人员F</t>
  </si>
  <si>
    <t>工作人员G</t>
  </si>
  <si>
    <t>移湖街道所属事业单位</t>
  </si>
  <si>
    <t>工程建设管理人员</t>
  </si>
  <si>
    <t>统计工作人员</t>
  </si>
  <si>
    <t>办公室工作人员</t>
  </si>
  <si>
    <t>汤池镇农业技术推广服务站</t>
  </si>
  <si>
    <t>金牛镇人民政府所属事业单位</t>
  </si>
  <si>
    <t>同大镇人民政府所属事业单位</t>
  </si>
  <si>
    <t>龙桥镇人民政府所属事业单位</t>
  </si>
  <si>
    <t>中医院医疗集团</t>
  </si>
  <si>
    <t>中医临床医师（士）</t>
  </si>
  <si>
    <t>县医院医疗集团</t>
  </si>
  <si>
    <t>超声科医师（士）</t>
  </si>
  <si>
    <t>医学影像诊断医师（士）</t>
  </si>
  <si>
    <t>口腔科医师（士）</t>
  </si>
  <si>
    <t>镇财政所</t>
  </si>
  <si>
    <t>财务会计A</t>
  </si>
  <si>
    <t>财务会计B</t>
  </si>
  <si>
    <t>财务会计C</t>
  </si>
  <si>
    <t>财务工作人员</t>
  </si>
  <si>
    <t>财务会计</t>
  </si>
  <si>
    <t>临床医师（士）</t>
  </si>
  <si>
    <t>药房药师（士）</t>
  </si>
  <si>
    <t>康复理疗师（士）</t>
  </si>
</sst>
</file>

<file path=xl/styles.xml><?xml version="1.0" encoding="utf-8"?>
<styleSheet xmlns="http://schemas.openxmlformats.org/spreadsheetml/2006/main">
  <numFmts count="1">
    <numFmt numFmtId="176" formatCode="0.00_ "/>
  </numFmts>
  <fonts count="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6"/>
      <name val="方正小标宋简体"/>
      <charset val="134"/>
    </font>
    <font>
      <b/>
      <sz val="11"/>
      <name val="宋体"/>
      <charset val="134"/>
      <scheme val="minor"/>
    </font>
    <font>
      <sz val="10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059"/>
  <sheetViews>
    <sheetView tabSelected="1" workbookViewId="0">
      <selection activeCell="D5" sqref="D5"/>
    </sheetView>
  </sheetViews>
  <sheetFormatPr defaultColWidth="9" defaultRowHeight="13.5"/>
  <cols>
    <col min="1" max="1" width="18.375" style="5" customWidth="1"/>
    <col min="2" max="2" width="13.25" style="5" customWidth="1"/>
    <col min="3" max="3" width="11.625" style="4" customWidth="1"/>
    <col min="4" max="4" width="14" style="4" customWidth="1"/>
    <col min="5" max="9" width="9.5" style="4" customWidth="1"/>
    <col min="10" max="16315" width="9" style="4" customWidth="1"/>
    <col min="16316" max="16384" width="9" style="4"/>
  </cols>
  <sheetData>
    <row r="1" spans="1:9" ht="35.1" customHeight="1">
      <c r="A1" s="12" t="s">
        <v>0</v>
      </c>
      <c r="B1" s="12"/>
      <c r="C1" s="12"/>
      <c r="D1" s="12"/>
      <c r="E1" s="12"/>
      <c r="F1" s="12"/>
      <c r="G1" s="12"/>
      <c r="H1" s="12"/>
      <c r="I1" s="12"/>
    </row>
    <row r="2" spans="1:9" ht="27.95" customHeight="1">
      <c r="A2" s="6" t="s">
        <v>1</v>
      </c>
      <c r="B2" s="6" t="s">
        <v>2</v>
      </c>
      <c r="C2" s="7" t="s">
        <v>3</v>
      </c>
      <c r="D2" s="7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0</v>
      </c>
    </row>
    <row r="3" spans="1:9" ht="21.75" customHeight="1">
      <c r="A3" s="8" t="s">
        <v>37</v>
      </c>
      <c r="B3" s="8" t="s">
        <v>38</v>
      </c>
      <c r="C3" s="9" t="str">
        <f t="shared" ref="C3:C66" si="0">"230096"</f>
        <v>230096</v>
      </c>
      <c r="D3" s="9" t="str">
        <f>"230911601"</f>
        <v>230911601</v>
      </c>
      <c r="E3" s="10">
        <v>80.67</v>
      </c>
      <c r="F3" s="10"/>
      <c r="G3" s="10">
        <v>79.66</v>
      </c>
      <c r="H3" s="10"/>
      <c r="I3" s="10">
        <v>80.06</v>
      </c>
    </row>
    <row r="4" spans="1:9" s="1" customFormat="1" ht="21.75" customHeight="1">
      <c r="A4" s="8" t="s">
        <v>37</v>
      </c>
      <c r="B4" s="8" t="s">
        <v>38</v>
      </c>
      <c r="C4" s="9" t="str">
        <f t="shared" si="0"/>
        <v>230096</v>
      </c>
      <c r="D4" s="9" t="str">
        <f>"230912110"</f>
        <v>230912110</v>
      </c>
      <c r="E4" s="10">
        <v>76.989999999999995</v>
      </c>
      <c r="F4" s="10"/>
      <c r="G4" s="10">
        <v>78.930000000000007</v>
      </c>
      <c r="H4" s="10"/>
      <c r="I4" s="10">
        <v>78.150000000000006</v>
      </c>
    </row>
    <row r="5" spans="1:9" ht="21.75" customHeight="1">
      <c r="A5" s="8" t="s">
        <v>37</v>
      </c>
      <c r="B5" s="8" t="s">
        <v>38</v>
      </c>
      <c r="C5" s="9" t="str">
        <f t="shared" si="0"/>
        <v>230096</v>
      </c>
      <c r="D5" s="9" t="str">
        <f>"230911706"</f>
        <v>230911706</v>
      </c>
      <c r="E5" s="10">
        <v>78.13</v>
      </c>
      <c r="F5" s="10"/>
      <c r="G5" s="10">
        <v>76.72</v>
      </c>
      <c r="H5" s="10"/>
      <c r="I5" s="10">
        <v>77.28</v>
      </c>
    </row>
    <row r="6" spans="1:9" ht="21.75" customHeight="1">
      <c r="A6" s="8" t="s">
        <v>37</v>
      </c>
      <c r="B6" s="8" t="s">
        <v>38</v>
      </c>
      <c r="C6" s="9" t="str">
        <f t="shared" si="0"/>
        <v>230096</v>
      </c>
      <c r="D6" s="9" t="str">
        <f>"230911907"</f>
        <v>230911907</v>
      </c>
      <c r="E6" s="10">
        <v>79.42</v>
      </c>
      <c r="F6" s="10"/>
      <c r="G6" s="10">
        <v>75.61</v>
      </c>
      <c r="H6" s="10"/>
      <c r="I6" s="10">
        <v>77.13</v>
      </c>
    </row>
    <row r="7" spans="1:9" ht="21.75" customHeight="1">
      <c r="A7" s="8" t="s">
        <v>37</v>
      </c>
      <c r="B7" s="8" t="s">
        <v>38</v>
      </c>
      <c r="C7" s="9" t="str">
        <f t="shared" si="0"/>
        <v>230096</v>
      </c>
      <c r="D7" s="9" t="str">
        <f>"230911512"</f>
        <v>230911512</v>
      </c>
      <c r="E7" s="10">
        <v>71.459999999999994</v>
      </c>
      <c r="F7" s="10"/>
      <c r="G7" s="10">
        <v>80.569999999999993</v>
      </c>
      <c r="H7" s="10"/>
      <c r="I7" s="10">
        <v>76.930000000000007</v>
      </c>
    </row>
    <row r="8" spans="1:9" ht="21.75" customHeight="1">
      <c r="A8" s="8" t="s">
        <v>37</v>
      </c>
      <c r="B8" s="8" t="s">
        <v>38</v>
      </c>
      <c r="C8" s="9" t="str">
        <f t="shared" si="0"/>
        <v>230096</v>
      </c>
      <c r="D8" s="9" t="str">
        <f>"230911902"</f>
        <v>230911902</v>
      </c>
      <c r="E8" s="10">
        <v>85.52</v>
      </c>
      <c r="F8" s="10"/>
      <c r="G8" s="10">
        <v>70.61</v>
      </c>
      <c r="H8" s="10"/>
      <c r="I8" s="10">
        <v>76.569999999999993</v>
      </c>
    </row>
    <row r="9" spans="1:9" s="1" customFormat="1" ht="21.75" customHeight="1">
      <c r="A9" s="8" t="s">
        <v>37</v>
      </c>
      <c r="B9" s="8" t="s">
        <v>38</v>
      </c>
      <c r="C9" s="9" t="str">
        <f t="shared" si="0"/>
        <v>230096</v>
      </c>
      <c r="D9" s="9" t="str">
        <f>"230912021"</f>
        <v>230912021</v>
      </c>
      <c r="E9" s="10">
        <v>77</v>
      </c>
      <c r="F9" s="10"/>
      <c r="G9" s="10">
        <v>76.14</v>
      </c>
      <c r="H9" s="10"/>
      <c r="I9" s="10">
        <v>76.48</v>
      </c>
    </row>
    <row r="10" spans="1:9" ht="21.75" customHeight="1">
      <c r="A10" s="8" t="s">
        <v>37</v>
      </c>
      <c r="B10" s="8" t="s">
        <v>38</v>
      </c>
      <c r="C10" s="9" t="str">
        <f t="shared" si="0"/>
        <v>230096</v>
      </c>
      <c r="D10" s="9" t="str">
        <f>"230912219"</f>
        <v>230912219</v>
      </c>
      <c r="E10" s="10">
        <v>72.05</v>
      </c>
      <c r="F10" s="10"/>
      <c r="G10" s="10">
        <v>77.97</v>
      </c>
      <c r="H10" s="10"/>
      <c r="I10" s="10">
        <v>75.599999999999994</v>
      </c>
    </row>
    <row r="11" spans="1:9" ht="21.75" customHeight="1">
      <c r="A11" s="8" t="s">
        <v>37</v>
      </c>
      <c r="B11" s="8" t="s">
        <v>38</v>
      </c>
      <c r="C11" s="9" t="str">
        <f t="shared" si="0"/>
        <v>230096</v>
      </c>
      <c r="D11" s="9" t="str">
        <f>"230911404"</f>
        <v>230911404</v>
      </c>
      <c r="E11" s="10">
        <v>72.72</v>
      </c>
      <c r="F11" s="10"/>
      <c r="G11" s="10">
        <v>77.069999999999993</v>
      </c>
      <c r="H11" s="10"/>
      <c r="I11" s="10">
        <v>75.33</v>
      </c>
    </row>
    <row r="12" spans="1:9" ht="21.75" customHeight="1">
      <c r="A12" s="8" t="s">
        <v>37</v>
      </c>
      <c r="B12" s="8" t="s">
        <v>38</v>
      </c>
      <c r="C12" s="9" t="str">
        <f t="shared" si="0"/>
        <v>230096</v>
      </c>
      <c r="D12" s="9" t="str">
        <f>"230911428"</f>
        <v>230911428</v>
      </c>
      <c r="E12" s="10">
        <v>84.93</v>
      </c>
      <c r="F12" s="10"/>
      <c r="G12" s="10">
        <v>68.489999999999995</v>
      </c>
      <c r="H12" s="10"/>
      <c r="I12" s="10">
        <v>75.069999999999993</v>
      </c>
    </row>
    <row r="13" spans="1:9" s="1" customFormat="1" ht="21.75" customHeight="1">
      <c r="A13" s="8" t="s">
        <v>37</v>
      </c>
      <c r="B13" s="8" t="s">
        <v>38</v>
      </c>
      <c r="C13" s="9" t="str">
        <f t="shared" si="0"/>
        <v>230096</v>
      </c>
      <c r="D13" s="9" t="str">
        <f>"230911621"</f>
        <v>230911621</v>
      </c>
      <c r="E13" s="10">
        <v>76.400000000000006</v>
      </c>
      <c r="F13" s="10"/>
      <c r="G13" s="10">
        <v>73.510000000000005</v>
      </c>
      <c r="H13" s="10"/>
      <c r="I13" s="10">
        <v>74.67</v>
      </c>
    </row>
    <row r="14" spans="1:9" s="1" customFormat="1" ht="21.75" customHeight="1">
      <c r="A14" s="8" t="s">
        <v>37</v>
      </c>
      <c r="B14" s="8" t="s">
        <v>38</v>
      </c>
      <c r="C14" s="9" t="str">
        <f t="shared" si="0"/>
        <v>230096</v>
      </c>
      <c r="D14" s="9" t="str">
        <f>"230912313"</f>
        <v>230912313</v>
      </c>
      <c r="E14" s="10">
        <v>82.97</v>
      </c>
      <c r="F14" s="10"/>
      <c r="G14" s="10">
        <v>69.040000000000006</v>
      </c>
      <c r="H14" s="10"/>
      <c r="I14" s="10">
        <v>74.61</v>
      </c>
    </row>
    <row r="15" spans="1:9" s="1" customFormat="1" ht="21.75" customHeight="1">
      <c r="A15" s="8" t="s">
        <v>37</v>
      </c>
      <c r="B15" s="8" t="s">
        <v>38</v>
      </c>
      <c r="C15" s="9" t="str">
        <f t="shared" si="0"/>
        <v>230096</v>
      </c>
      <c r="D15" s="9" t="str">
        <f>"230912009"</f>
        <v>230912009</v>
      </c>
      <c r="E15" s="10">
        <v>72.73</v>
      </c>
      <c r="F15" s="10"/>
      <c r="G15" s="10">
        <v>75.78</v>
      </c>
      <c r="H15" s="10"/>
      <c r="I15" s="10">
        <v>74.56</v>
      </c>
    </row>
    <row r="16" spans="1:9" ht="21.75" customHeight="1">
      <c r="A16" s="8" t="s">
        <v>37</v>
      </c>
      <c r="B16" s="8" t="s">
        <v>38</v>
      </c>
      <c r="C16" s="9" t="str">
        <f t="shared" si="0"/>
        <v>230096</v>
      </c>
      <c r="D16" s="9" t="str">
        <f>"230911922"</f>
        <v>230911922</v>
      </c>
      <c r="E16" s="10">
        <v>76.069999999999993</v>
      </c>
      <c r="F16" s="10"/>
      <c r="G16" s="10">
        <v>73.53</v>
      </c>
      <c r="H16" s="10"/>
      <c r="I16" s="10">
        <v>74.55</v>
      </c>
    </row>
    <row r="17" spans="1:9" s="1" customFormat="1" ht="21.75" customHeight="1">
      <c r="A17" s="8" t="s">
        <v>37</v>
      </c>
      <c r="B17" s="8" t="s">
        <v>38</v>
      </c>
      <c r="C17" s="9" t="str">
        <f t="shared" si="0"/>
        <v>230096</v>
      </c>
      <c r="D17" s="9" t="str">
        <f>"230912120"</f>
        <v>230912120</v>
      </c>
      <c r="E17" s="10">
        <v>77.58</v>
      </c>
      <c r="F17" s="10"/>
      <c r="G17" s="10">
        <v>72.319999999999993</v>
      </c>
      <c r="H17" s="10"/>
      <c r="I17" s="10">
        <v>74.42</v>
      </c>
    </row>
    <row r="18" spans="1:9" ht="21.75" customHeight="1">
      <c r="A18" s="8" t="s">
        <v>37</v>
      </c>
      <c r="B18" s="8" t="s">
        <v>38</v>
      </c>
      <c r="C18" s="9" t="str">
        <f t="shared" si="0"/>
        <v>230096</v>
      </c>
      <c r="D18" s="9" t="str">
        <f>"230912111"</f>
        <v>230912111</v>
      </c>
      <c r="E18" s="10">
        <v>73.3</v>
      </c>
      <c r="F18" s="10"/>
      <c r="G18" s="10">
        <v>74.680000000000007</v>
      </c>
      <c r="H18" s="10"/>
      <c r="I18" s="10">
        <v>74.13</v>
      </c>
    </row>
    <row r="19" spans="1:9" s="1" customFormat="1" ht="21.75" customHeight="1">
      <c r="A19" s="8" t="s">
        <v>37</v>
      </c>
      <c r="B19" s="8" t="s">
        <v>38</v>
      </c>
      <c r="C19" s="9" t="str">
        <f t="shared" si="0"/>
        <v>230096</v>
      </c>
      <c r="D19" s="9" t="str">
        <f>"230911509"</f>
        <v>230911509</v>
      </c>
      <c r="E19" s="10">
        <v>74.81</v>
      </c>
      <c r="F19" s="10"/>
      <c r="G19" s="10">
        <v>72.540000000000006</v>
      </c>
      <c r="H19" s="10"/>
      <c r="I19" s="10">
        <v>73.45</v>
      </c>
    </row>
    <row r="20" spans="1:9" ht="21.75" customHeight="1">
      <c r="A20" s="8" t="s">
        <v>37</v>
      </c>
      <c r="B20" s="8" t="s">
        <v>38</v>
      </c>
      <c r="C20" s="9" t="str">
        <f t="shared" si="0"/>
        <v>230096</v>
      </c>
      <c r="D20" s="9" t="str">
        <f>"230911502"</f>
        <v>230911502</v>
      </c>
      <c r="E20" s="10">
        <v>84.59</v>
      </c>
      <c r="F20" s="10"/>
      <c r="G20" s="10">
        <v>65.69</v>
      </c>
      <c r="H20" s="10"/>
      <c r="I20" s="10">
        <v>73.25</v>
      </c>
    </row>
    <row r="21" spans="1:9" ht="21.75" customHeight="1">
      <c r="A21" s="8" t="s">
        <v>37</v>
      </c>
      <c r="B21" s="8" t="s">
        <v>38</v>
      </c>
      <c r="C21" s="9" t="str">
        <f t="shared" si="0"/>
        <v>230096</v>
      </c>
      <c r="D21" s="9" t="str">
        <f>"230911318"</f>
        <v>230911318</v>
      </c>
      <c r="E21" s="10">
        <v>73.87</v>
      </c>
      <c r="F21" s="10"/>
      <c r="G21" s="10">
        <v>72.599999999999994</v>
      </c>
      <c r="H21" s="10"/>
      <c r="I21" s="10">
        <v>73.11</v>
      </c>
    </row>
    <row r="22" spans="1:9" ht="21.75" customHeight="1">
      <c r="A22" s="8" t="s">
        <v>37</v>
      </c>
      <c r="B22" s="8" t="s">
        <v>38</v>
      </c>
      <c r="C22" s="9" t="str">
        <f t="shared" si="0"/>
        <v>230096</v>
      </c>
      <c r="D22" s="9" t="str">
        <f>"230912509"</f>
        <v>230912509</v>
      </c>
      <c r="E22" s="10">
        <v>67.81</v>
      </c>
      <c r="F22" s="10"/>
      <c r="G22" s="10">
        <v>76.569999999999993</v>
      </c>
      <c r="H22" s="10"/>
      <c r="I22" s="10">
        <v>73.069999999999993</v>
      </c>
    </row>
    <row r="23" spans="1:9" ht="21.75" customHeight="1">
      <c r="A23" s="8" t="s">
        <v>37</v>
      </c>
      <c r="B23" s="8" t="s">
        <v>38</v>
      </c>
      <c r="C23" s="9" t="str">
        <f t="shared" si="0"/>
        <v>230096</v>
      </c>
      <c r="D23" s="9" t="str">
        <f>"230911926"</f>
        <v>230911926</v>
      </c>
      <c r="E23" s="10">
        <v>76.290000000000006</v>
      </c>
      <c r="F23" s="10"/>
      <c r="G23" s="10">
        <v>70.59</v>
      </c>
      <c r="H23" s="10"/>
      <c r="I23" s="10">
        <v>72.87</v>
      </c>
    </row>
    <row r="24" spans="1:9" ht="21.75" customHeight="1">
      <c r="A24" s="8" t="s">
        <v>37</v>
      </c>
      <c r="B24" s="8" t="s">
        <v>38</v>
      </c>
      <c r="C24" s="9" t="str">
        <f t="shared" si="0"/>
        <v>230096</v>
      </c>
      <c r="D24" s="9" t="str">
        <f>"230911427"</f>
        <v>230911427</v>
      </c>
      <c r="E24" s="10">
        <v>82.74</v>
      </c>
      <c r="F24" s="10"/>
      <c r="G24" s="10">
        <v>65.87</v>
      </c>
      <c r="H24" s="10"/>
      <c r="I24" s="10">
        <v>72.62</v>
      </c>
    </row>
    <row r="25" spans="1:9" ht="21.75" customHeight="1">
      <c r="A25" s="8" t="s">
        <v>37</v>
      </c>
      <c r="B25" s="8" t="s">
        <v>38</v>
      </c>
      <c r="C25" s="9" t="str">
        <f t="shared" si="0"/>
        <v>230096</v>
      </c>
      <c r="D25" s="9" t="str">
        <f>"230911325"</f>
        <v>230911325</v>
      </c>
      <c r="E25" s="10">
        <v>69.41</v>
      </c>
      <c r="F25" s="10"/>
      <c r="G25" s="10">
        <v>74.72</v>
      </c>
      <c r="H25" s="10"/>
      <c r="I25" s="10">
        <v>72.599999999999994</v>
      </c>
    </row>
    <row r="26" spans="1:9" ht="21.75" customHeight="1">
      <c r="A26" s="8" t="s">
        <v>37</v>
      </c>
      <c r="B26" s="8" t="s">
        <v>38</v>
      </c>
      <c r="C26" s="9" t="str">
        <f t="shared" si="0"/>
        <v>230096</v>
      </c>
      <c r="D26" s="9" t="str">
        <f>"230912126"</f>
        <v>230912126</v>
      </c>
      <c r="E26" s="10">
        <v>79.87</v>
      </c>
      <c r="F26" s="10"/>
      <c r="G26" s="10">
        <v>67.44</v>
      </c>
      <c r="H26" s="10"/>
      <c r="I26" s="10">
        <v>72.41</v>
      </c>
    </row>
    <row r="27" spans="1:9" s="1" customFormat="1" ht="21.75" customHeight="1">
      <c r="A27" s="8" t="s">
        <v>37</v>
      </c>
      <c r="B27" s="8" t="s">
        <v>38</v>
      </c>
      <c r="C27" s="9" t="str">
        <f t="shared" si="0"/>
        <v>230096</v>
      </c>
      <c r="D27" s="9" t="str">
        <f>"230912103"</f>
        <v>230912103</v>
      </c>
      <c r="E27" s="10">
        <v>73.89</v>
      </c>
      <c r="F27" s="10"/>
      <c r="G27" s="10">
        <v>70.17</v>
      </c>
      <c r="H27" s="10"/>
      <c r="I27" s="10">
        <v>71.66</v>
      </c>
    </row>
    <row r="28" spans="1:9" ht="21.75" customHeight="1">
      <c r="A28" s="8" t="s">
        <v>37</v>
      </c>
      <c r="B28" s="8" t="s">
        <v>38</v>
      </c>
      <c r="C28" s="9" t="str">
        <f t="shared" si="0"/>
        <v>230096</v>
      </c>
      <c r="D28" s="9" t="str">
        <f>"230911606"</f>
        <v>230911606</v>
      </c>
      <c r="E28" s="10">
        <v>64.92</v>
      </c>
      <c r="F28" s="10"/>
      <c r="G28" s="10">
        <v>75.52</v>
      </c>
      <c r="H28" s="10"/>
      <c r="I28" s="10">
        <v>71.28</v>
      </c>
    </row>
    <row r="29" spans="1:9" s="1" customFormat="1" ht="21.75" customHeight="1">
      <c r="A29" s="8" t="s">
        <v>37</v>
      </c>
      <c r="B29" s="8" t="s">
        <v>38</v>
      </c>
      <c r="C29" s="9" t="str">
        <f t="shared" si="0"/>
        <v>230096</v>
      </c>
      <c r="D29" s="9" t="str">
        <f>"230911504"</f>
        <v>230911504</v>
      </c>
      <c r="E29" s="10">
        <v>74.8</v>
      </c>
      <c r="F29" s="10"/>
      <c r="G29" s="10">
        <v>68.540000000000006</v>
      </c>
      <c r="H29" s="10"/>
      <c r="I29" s="10">
        <v>71.040000000000006</v>
      </c>
    </row>
    <row r="30" spans="1:9" ht="21.75" customHeight="1">
      <c r="A30" s="8" t="s">
        <v>37</v>
      </c>
      <c r="B30" s="8" t="s">
        <v>38</v>
      </c>
      <c r="C30" s="9" t="str">
        <f t="shared" si="0"/>
        <v>230096</v>
      </c>
      <c r="D30" s="9" t="str">
        <f>"230911617"</f>
        <v>230911617</v>
      </c>
      <c r="E30" s="10">
        <v>79.75</v>
      </c>
      <c r="F30" s="10"/>
      <c r="G30" s="10">
        <v>64.58</v>
      </c>
      <c r="H30" s="10"/>
      <c r="I30" s="10">
        <v>70.650000000000006</v>
      </c>
    </row>
    <row r="31" spans="1:9" ht="21.75" customHeight="1">
      <c r="A31" s="8" t="s">
        <v>37</v>
      </c>
      <c r="B31" s="8" t="s">
        <v>38</v>
      </c>
      <c r="C31" s="9" t="str">
        <f t="shared" si="0"/>
        <v>230096</v>
      </c>
      <c r="D31" s="9" t="str">
        <f>"230912522"</f>
        <v>230912522</v>
      </c>
      <c r="E31" s="10">
        <v>68.709999999999994</v>
      </c>
      <c r="F31" s="10"/>
      <c r="G31" s="10">
        <v>71.94</v>
      </c>
      <c r="H31" s="10"/>
      <c r="I31" s="10">
        <v>70.650000000000006</v>
      </c>
    </row>
    <row r="32" spans="1:9" ht="21.75" customHeight="1">
      <c r="A32" s="8" t="s">
        <v>37</v>
      </c>
      <c r="B32" s="8" t="s">
        <v>38</v>
      </c>
      <c r="C32" s="9" t="str">
        <f t="shared" si="0"/>
        <v>230096</v>
      </c>
      <c r="D32" s="9" t="str">
        <f>"230911520"</f>
        <v>230911520</v>
      </c>
      <c r="E32" s="10">
        <v>70.89</v>
      </c>
      <c r="F32" s="10"/>
      <c r="G32" s="10">
        <v>70.39</v>
      </c>
      <c r="H32" s="10"/>
      <c r="I32" s="10">
        <v>70.59</v>
      </c>
    </row>
    <row r="33" spans="1:9" ht="21.75" customHeight="1">
      <c r="A33" s="8" t="s">
        <v>37</v>
      </c>
      <c r="B33" s="8" t="s">
        <v>38</v>
      </c>
      <c r="C33" s="9" t="str">
        <f t="shared" si="0"/>
        <v>230096</v>
      </c>
      <c r="D33" s="9" t="str">
        <f>"230912328"</f>
        <v>230912328</v>
      </c>
      <c r="E33" s="10">
        <v>70.790000000000006</v>
      </c>
      <c r="F33" s="10"/>
      <c r="G33" s="10">
        <v>70.150000000000006</v>
      </c>
      <c r="H33" s="10"/>
      <c r="I33" s="10">
        <v>70.41</v>
      </c>
    </row>
    <row r="34" spans="1:9" ht="21.75" customHeight="1">
      <c r="A34" s="8" t="s">
        <v>37</v>
      </c>
      <c r="B34" s="8" t="s">
        <v>38</v>
      </c>
      <c r="C34" s="9" t="str">
        <f t="shared" si="0"/>
        <v>230096</v>
      </c>
      <c r="D34" s="9" t="str">
        <f>"230912305"</f>
        <v>230912305</v>
      </c>
      <c r="E34" s="10">
        <v>72.959999999999994</v>
      </c>
      <c r="F34" s="10"/>
      <c r="G34" s="10">
        <v>68.37</v>
      </c>
      <c r="H34" s="10"/>
      <c r="I34" s="10">
        <v>70.209999999999994</v>
      </c>
    </row>
    <row r="35" spans="1:9" ht="21.75" customHeight="1">
      <c r="A35" s="8" t="s">
        <v>37</v>
      </c>
      <c r="B35" s="8" t="s">
        <v>38</v>
      </c>
      <c r="C35" s="9" t="str">
        <f t="shared" si="0"/>
        <v>230096</v>
      </c>
      <c r="D35" s="9" t="str">
        <f>"230911930"</f>
        <v>230911930</v>
      </c>
      <c r="E35" s="10">
        <v>70.319999999999993</v>
      </c>
      <c r="F35" s="10"/>
      <c r="G35" s="10">
        <v>70.040000000000006</v>
      </c>
      <c r="H35" s="10"/>
      <c r="I35" s="10">
        <v>70.150000000000006</v>
      </c>
    </row>
    <row r="36" spans="1:9" ht="21.75" customHeight="1">
      <c r="A36" s="8" t="s">
        <v>37</v>
      </c>
      <c r="B36" s="8" t="s">
        <v>38</v>
      </c>
      <c r="C36" s="9" t="str">
        <f t="shared" si="0"/>
        <v>230096</v>
      </c>
      <c r="D36" s="9" t="str">
        <f>"230911312"</f>
        <v>230911312</v>
      </c>
      <c r="E36" s="10">
        <v>74.349999999999994</v>
      </c>
      <c r="F36" s="10"/>
      <c r="G36" s="10">
        <v>67.05</v>
      </c>
      <c r="H36" s="10"/>
      <c r="I36" s="10">
        <v>69.97</v>
      </c>
    </row>
    <row r="37" spans="1:9" ht="21.75" customHeight="1">
      <c r="A37" s="8" t="s">
        <v>37</v>
      </c>
      <c r="B37" s="8" t="s">
        <v>38</v>
      </c>
      <c r="C37" s="9" t="str">
        <f t="shared" si="0"/>
        <v>230096</v>
      </c>
      <c r="D37" s="9" t="str">
        <f>"230912225"</f>
        <v>230912225</v>
      </c>
      <c r="E37" s="10">
        <v>69.040000000000006</v>
      </c>
      <c r="F37" s="10"/>
      <c r="G37" s="10">
        <v>70.59</v>
      </c>
      <c r="H37" s="10"/>
      <c r="I37" s="10">
        <v>69.97</v>
      </c>
    </row>
    <row r="38" spans="1:9" ht="21.75" customHeight="1">
      <c r="A38" s="8" t="s">
        <v>37</v>
      </c>
      <c r="B38" s="8" t="s">
        <v>38</v>
      </c>
      <c r="C38" s="9" t="str">
        <f t="shared" si="0"/>
        <v>230096</v>
      </c>
      <c r="D38" s="9" t="str">
        <f>"230912220"</f>
        <v>230912220</v>
      </c>
      <c r="E38" s="10">
        <v>72.040000000000006</v>
      </c>
      <c r="F38" s="10"/>
      <c r="G38" s="10">
        <v>68.56</v>
      </c>
      <c r="H38" s="10"/>
      <c r="I38" s="10">
        <v>69.95</v>
      </c>
    </row>
    <row r="39" spans="1:9" ht="21.75" customHeight="1">
      <c r="A39" s="8" t="s">
        <v>37</v>
      </c>
      <c r="B39" s="8" t="s">
        <v>38</v>
      </c>
      <c r="C39" s="9" t="str">
        <f t="shared" si="0"/>
        <v>230096</v>
      </c>
      <c r="D39" s="9" t="str">
        <f>"230912523"</f>
        <v>230912523</v>
      </c>
      <c r="E39" s="10">
        <v>68.010000000000005</v>
      </c>
      <c r="F39" s="10"/>
      <c r="G39" s="10">
        <v>71.03</v>
      </c>
      <c r="H39" s="10"/>
      <c r="I39" s="10">
        <v>69.819999999999993</v>
      </c>
    </row>
    <row r="40" spans="1:9" ht="21.75" customHeight="1">
      <c r="A40" s="8" t="s">
        <v>37</v>
      </c>
      <c r="B40" s="8" t="s">
        <v>38</v>
      </c>
      <c r="C40" s="9" t="str">
        <f t="shared" si="0"/>
        <v>230096</v>
      </c>
      <c r="D40" s="9" t="str">
        <f>"230912505"</f>
        <v>230912505</v>
      </c>
      <c r="E40" s="10">
        <v>73.31</v>
      </c>
      <c r="F40" s="10"/>
      <c r="G40" s="10">
        <v>67.38</v>
      </c>
      <c r="H40" s="10"/>
      <c r="I40" s="10">
        <v>69.75</v>
      </c>
    </row>
    <row r="41" spans="1:9" ht="21.75" customHeight="1">
      <c r="A41" s="8" t="s">
        <v>37</v>
      </c>
      <c r="B41" s="8" t="s">
        <v>38</v>
      </c>
      <c r="C41" s="9" t="str">
        <f t="shared" si="0"/>
        <v>230096</v>
      </c>
      <c r="D41" s="9" t="str">
        <f>"230912312"</f>
        <v>230912312</v>
      </c>
      <c r="E41" s="10">
        <v>74.010000000000005</v>
      </c>
      <c r="F41" s="10"/>
      <c r="G41" s="10">
        <v>66.88</v>
      </c>
      <c r="H41" s="10"/>
      <c r="I41" s="10">
        <v>69.73</v>
      </c>
    </row>
    <row r="42" spans="1:9" ht="21.75" customHeight="1">
      <c r="A42" s="8" t="s">
        <v>37</v>
      </c>
      <c r="B42" s="8" t="s">
        <v>38</v>
      </c>
      <c r="C42" s="9" t="str">
        <f t="shared" si="0"/>
        <v>230096</v>
      </c>
      <c r="D42" s="9" t="str">
        <f>"230912205"</f>
        <v>230912205</v>
      </c>
      <c r="E42" s="10">
        <v>71.02</v>
      </c>
      <c r="F42" s="10"/>
      <c r="G42" s="10">
        <v>68.540000000000006</v>
      </c>
      <c r="H42" s="10"/>
      <c r="I42" s="10">
        <v>69.53</v>
      </c>
    </row>
    <row r="43" spans="1:9" s="1" customFormat="1" ht="21.75" customHeight="1">
      <c r="A43" s="8" t="s">
        <v>37</v>
      </c>
      <c r="B43" s="8" t="s">
        <v>38</v>
      </c>
      <c r="C43" s="9" t="str">
        <f t="shared" si="0"/>
        <v>230096</v>
      </c>
      <c r="D43" s="9" t="str">
        <f>"230911604"</f>
        <v>230911604</v>
      </c>
      <c r="E43" s="10">
        <v>74.23</v>
      </c>
      <c r="F43" s="10"/>
      <c r="G43" s="10">
        <v>66.23</v>
      </c>
      <c r="H43" s="10"/>
      <c r="I43" s="10">
        <v>69.430000000000007</v>
      </c>
    </row>
    <row r="44" spans="1:9" s="1" customFormat="1" ht="21.75" customHeight="1">
      <c r="A44" s="8" t="s">
        <v>37</v>
      </c>
      <c r="B44" s="8" t="s">
        <v>38</v>
      </c>
      <c r="C44" s="9" t="str">
        <f t="shared" si="0"/>
        <v>230096</v>
      </c>
      <c r="D44" s="9" t="str">
        <f>"230911908"</f>
        <v>230911908</v>
      </c>
      <c r="E44" s="10">
        <v>72.400000000000006</v>
      </c>
      <c r="F44" s="10"/>
      <c r="G44" s="10">
        <v>67.44</v>
      </c>
      <c r="H44" s="10"/>
      <c r="I44" s="10">
        <v>69.42</v>
      </c>
    </row>
    <row r="45" spans="1:9" ht="21.75" customHeight="1">
      <c r="A45" s="8" t="s">
        <v>37</v>
      </c>
      <c r="B45" s="8" t="s">
        <v>38</v>
      </c>
      <c r="C45" s="9" t="str">
        <f t="shared" si="0"/>
        <v>230096</v>
      </c>
      <c r="D45" s="9" t="str">
        <f>"230912322"</f>
        <v>230912322</v>
      </c>
      <c r="E45" s="10">
        <v>76.180000000000007</v>
      </c>
      <c r="F45" s="10"/>
      <c r="G45" s="10">
        <v>64.569999999999993</v>
      </c>
      <c r="H45" s="10"/>
      <c r="I45" s="10">
        <v>69.209999999999994</v>
      </c>
    </row>
    <row r="46" spans="1:9" ht="21.75" customHeight="1">
      <c r="A46" s="8" t="s">
        <v>37</v>
      </c>
      <c r="B46" s="8" t="s">
        <v>38</v>
      </c>
      <c r="C46" s="9" t="str">
        <f t="shared" si="0"/>
        <v>230096</v>
      </c>
      <c r="D46" s="9" t="str">
        <f>"230911719"</f>
        <v>230911719</v>
      </c>
      <c r="E46" s="10">
        <v>71.459999999999994</v>
      </c>
      <c r="F46" s="10"/>
      <c r="G46" s="10">
        <v>67.260000000000005</v>
      </c>
      <c r="H46" s="10"/>
      <c r="I46" s="10">
        <v>68.94</v>
      </c>
    </row>
    <row r="47" spans="1:9" ht="21.75" customHeight="1">
      <c r="A47" s="8" t="s">
        <v>37</v>
      </c>
      <c r="B47" s="8" t="s">
        <v>38</v>
      </c>
      <c r="C47" s="9" t="str">
        <f t="shared" si="0"/>
        <v>230096</v>
      </c>
      <c r="D47" s="9" t="str">
        <f>"230912408"</f>
        <v>230912408</v>
      </c>
      <c r="E47" s="10">
        <v>77.56</v>
      </c>
      <c r="F47" s="10"/>
      <c r="G47" s="10">
        <v>63.07</v>
      </c>
      <c r="H47" s="10"/>
      <c r="I47" s="10">
        <v>68.87</v>
      </c>
    </row>
    <row r="48" spans="1:9" s="1" customFormat="1" ht="21.75" customHeight="1">
      <c r="A48" s="8" t="s">
        <v>37</v>
      </c>
      <c r="B48" s="8" t="s">
        <v>38</v>
      </c>
      <c r="C48" s="9" t="str">
        <f t="shared" si="0"/>
        <v>230096</v>
      </c>
      <c r="D48" s="9" t="str">
        <f>"230911626"</f>
        <v>230911626</v>
      </c>
      <c r="E48" s="10">
        <v>76.08</v>
      </c>
      <c r="F48" s="10"/>
      <c r="G48" s="10">
        <v>63.91</v>
      </c>
      <c r="H48" s="10"/>
      <c r="I48" s="10">
        <v>68.78</v>
      </c>
    </row>
    <row r="49" spans="1:9" ht="21.75" customHeight="1">
      <c r="A49" s="8" t="s">
        <v>37</v>
      </c>
      <c r="B49" s="8" t="s">
        <v>38</v>
      </c>
      <c r="C49" s="9" t="str">
        <f t="shared" si="0"/>
        <v>230096</v>
      </c>
      <c r="D49" s="9" t="str">
        <f>"230912428"</f>
        <v>230912428</v>
      </c>
      <c r="E49" s="10">
        <v>76.069999999999993</v>
      </c>
      <c r="F49" s="10"/>
      <c r="G49" s="10">
        <v>63.92</v>
      </c>
      <c r="H49" s="10"/>
      <c r="I49" s="10">
        <v>68.78</v>
      </c>
    </row>
    <row r="50" spans="1:9" ht="21.75" customHeight="1">
      <c r="A50" s="8" t="s">
        <v>37</v>
      </c>
      <c r="B50" s="8" t="s">
        <v>38</v>
      </c>
      <c r="C50" s="9" t="str">
        <f t="shared" si="0"/>
        <v>230096</v>
      </c>
      <c r="D50" s="9" t="str">
        <f>"230912224"</f>
        <v>230912224</v>
      </c>
      <c r="E50" s="10">
        <v>75.16</v>
      </c>
      <c r="F50" s="10"/>
      <c r="G50" s="10">
        <v>63.7</v>
      </c>
      <c r="H50" s="10"/>
      <c r="I50" s="10">
        <v>68.28</v>
      </c>
    </row>
    <row r="51" spans="1:9" ht="21.75" customHeight="1">
      <c r="A51" s="8" t="s">
        <v>37</v>
      </c>
      <c r="B51" s="8" t="s">
        <v>38</v>
      </c>
      <c r="C51" s="9" t="str">
        <f t="shared" si="0"/>
        <v>230096</v>
      </c>
      <c r="D51" s="9" t="str">
        <f>"230912301"</f>
        <v>230912301</v>
      </c>
      <c r="E51" s="10">
        <v>67.53</v>
      </c>
      <c r="F51" s="10"/>
      <c r="G51" s="10">
        <v>68.680000000000007</v>
      </c>
      <c r="H51" s="10"/>
      <c r="I51" s="10">
        <v>68.22</v>
      </c>
    </row>
    <row r="52" spans="1:9" s="1" customFormat="1" ht="21.75" customHeight="1">
      <c r="A52" s="8" t="s">
        <v>37</v>
      </c>
      <c r="B52" s="8" t="s">
        <v>38</v>
      </c>
      <c r="C52" s="9" t="str">
        <f t="shared" si="0"/>
        <v>230096</v>
      </c>
      <c r="D52" s="9" t="str">
        <f>"230911518"</f>
        <v>230911518</v>
      </c>
      <c r="E52" s="10">
        <v>74.45</v>
      </c>
      <c r="F52" s="10"/>
      <c r="G52" s="10">
        <v>63.9</v>
      </c>
      <c r="H52" s="10"/>
      <c r="I52" s="10">
        <v>68.12</v>
      </c>
    </row>
    <row r="53" spans="1:9" ht="21.75" customHeight="1">
      <c r="A53" s="8" t="s">
        <v>37</v>
      </c>
      <c r="B53" s="8" t="s">
        <v>38</v>
      </c>
      <c r="C53" s="9" t="str">
        <f t="shared" si="0"/>
        <v>230096</v>
      </c>
      <c r="D53" s="9" t="str">
        <f>"230912510"</f>
        <v>230912510</v>
      </c>
      <c r="E53" s="10">
        <v>69.400000000000006</v>
      </c>
      <c r="F53" s="10"/>
      <c r="G53" s="10">
        <v>67.16</v>
      </c>
      <c r="H53" s="10"/>
      <c r="I53" s="10">
        <v>68.06</v>
      </c>
    </row>
    <row r="54" spans="1:9" ht="21.75" customHeight="1">
      <c r="A54" s="8" t="s">
        <v>37</v>
      </c>
      <c r="B54" s="8" t="s">
        <v>38</v>
      </c>
      <c r="C54" s="9" t="str">
        <f t="shared" si="0"/>
        <v>230096</v>
      </c>
      <c r="D54" s="9" t="str">
        <f>"230911905"</f>
        <v>230911905</v>
      </c>
      <c r="E54" s="10">
        <v>71.47</v>
      </c>
      <c r="F54" s="10"/>
      <c r="G54" s="10">
        <v>65.680000000000007</v>
      </c>
      <c r="H54" s="10"/>
      <c r="I54" s="10">
        <v>68</v>
      </c>
    </row>
    <row r="55" spans="1:9" ht="21.75" customHeight="1">
      <c r="A55" s="8" t="s">
        <v>37</v>
      </c>
      <c r="B55" s="8" t="s">
        <v>38</v>
      </c>
      <c r="C55" s="9" t="str">
        <f t="shared" si="0"/>
        <v>230096</v>
      </c>
      <c r="D55" s="9" t="str">
        <f>"230911705"</f>
        <v>230911705</v>
      </c>
      <c r="E55" s="10">
        <v>70.69</v>
      </c>
      <c r="F55" s="10"/>
      <c r="G55" s="10">
        <v>65.81</v>
      </c>
      <c r="H55" s="10"/>
      <c r="I55" s="10">
        <v>67.760000000000005</v>
      </c>
    </row>
    <row r="56" spans="1:9" s="1" customFormat="1" ht="21.75" customHeight="1">
      <c r="A56" s="8" t="s">
        <v>37</v>
      </c>
      <c r="B56" s="8" t="s">
        <v>38</v>
      </c>
      <c r="C56" s="9" t="str">
        <f t="shared" si="0"/>
        <v>230096</v>
      </c>
      <c r="D56" s="9" t="str">
        <f>"230912506"</f>
        <v>230912506</v>
      </c>
      <c r="E56" s="10">
        <v>82.85</v>
      </c>
      <c r="F56" s="10"/>
      <c r="G56" s="10">
        <v>57.28</v>
      </c>
      <c r="H56" s="10"/>
      <c r="I56" s="10">
        <v>67.510000000000005</v>
      </c>
    </row>
    <row r="57" spans="1:9" s="1" customFormat="1" ht="21.75" customHeight="1">
      <c r="A57" s="8" t="s">
        <v>37</v>
      </c>
      <c r="B57" s="8" t="s">
        <v>38</v>
      </c>
      <c r="C57" s="9" t="str">
        <f t="shared" si="0"/>
        <v>230096</v>
      </c>
      <c r="D57" s="9" t="str">
        <f>"230911624"</f>
        <v>230911624</v>
      </c>
      <c r="E57" s="10">
        <v>69.19</v>
      </c>
      <c r="F57" s="10"/>
      <c r="G57" s="10">
        <v>66.08</v>
      </c>
      <c r="H57" s="10"/>
      <c r="I57" s="10">
        <v>67.319999999999993</v>
      </c>
    </row>
    <row r="58" spans="1:9" ht="21.75" customHeight="1">
      <c r="A58" s="8" t="s">
        <v>37</v>
      </c>
      <c r="B58" s="8" t="s">
        <v>38</v>
      </c>
      <c r="C58" s="9" t="str">
        <f t="shared" si="0"/>
        <v>230096</v>
      </c>
      <c r="D58" s="9" t="str">
        <f>"230911804"</f>
        <v>230911804</v>
      </c>
      <c r="E58" s="10">
        <v>76.08</v>
      </c>
      <c r="F58" s="10"/>
      <c r="G58" s="10">
        <v>61.15</v>
      </c>
      <c r="H58" s="10"/>
      <c r="I58" s="10">
        <v>67.12</v>
      </c>
    </row>
    <row r="59" spans="1:9" ht="21.75" customHeight="1">
      <c r="A59" s="8" t="s">
        <v>37</v>
      </c>
      <c r="B59" s="8" t="s">
        <v>38</v>
      </c>
      <c r="C59" s="9" t="str">
        <f t="shared" si="0"/>
        <v>230096</v>
      </c>
      <c r="D59" s="9" t="str">
        <f>"230911308"</f>
        <v>230911308</v>
      </c>
      <c r="E59" s="10">
        <v>78.709999999999994</v>
      </c>
      <c r="F59" s="10"/>
      <c r="G59" s="10">
        <v>59.27</v>
      </c>
      <c r="H59" s="10"/>
      <c r="I59" s="10">
        <v>67.05</v>
      </c>
    </row>
    <row r="60" spans="1:9" ht="21.75" customHeight="1">
      <c r="A60" s="8" t="s">
        <v>37</v>
      </c>
      <c r="B60" s="8" t="s">
        <v>38</v>
      </c>
      <c r="C60" s="9" t="str">
        <f t="shared" si="0"/>
        <v>230096</v>
      </c>
      <c r="D60" s="9" t="str">
        <f>"230911515"</f>
        <v>230911515</v>
      </c>
      <c r="E60" s="10">
        <v>67.22</v>
      </c>
      <c r="F60" s="10"/>
      <c r="G60" s="10">
        <v>66.92</v>
      </c>
      <c r="H60" s="10"/>
      <c r="I60" s="10">
        <v>67.040000000000006</v>
      </c>
    </row>
    <row r="61" spans="1:9" ht="21.75" customHeight="1">
      <c r="A61" s="8" t="s">
        <v>37</v>
      </c>
      <c r="B61" s="8" t="s">
        <v>38</v>
      </c>
      <c r="C61" s="9" t="str">
        <f t="shared" si="0"/>
        <v>230096</v>
      </c>
      <c r="D61" s="9" t="str">
        <f>"230911729"</f>
        <v>230911729</v>
      </c>
      <c r="E61" s="10">
        <v>73.319999999999993</v>
      </c>
      <c r="F61" s="10"/>
      <c r="G61" s="10">
        <v>62.7</v>
      </c>
      <c r="H61" s="10"/>
      <c r="I61" s="10">
        <v>66.95</v>
      </c>
    </row>
    <row r="62" spans="1:9" ht="21.75" customHeight="1">
      <c r="A62" s="8" t="s">
        <v>37</v>
      </c>
      <c r="B62" s="8" t="s">
        <v>38</v>
      </c>
      <c r="C62" s="9" t="str">
        <f t="shared" si="0"/>
        <v>230096</v>
      </c>
      <c r="D62" s="9" t="str">
        <f>"230912208"</f>
        <v>230912208</v>
      </c>
      <c r="E62" s="10">
        <v>66.069999999999993</v>
      </c>
      <c r="F62" s="10"/>
      <c r="G62" s="10">
        <v>67.510000000000005</v>
      </c>
      <c r="H62" s="10"/>
      <c r="I62" s="10">
        <v>66.930000000000007</v>
      </c>
    </row>
    <row r="63" spans="1:9" ht="21.75" customHeight="1">
      <c r="A63" s="8" t="s">
        <v>37</v>
      </c>
      <c r="B63" s="8" t="s">
        <v>38</v>
      </c>
      <c r="C63" s="9" t="str">
        <f t="shared" si="0"/>
        <v>230096</v>
      </c>
      <c r="D63" s="9" t="str">
        <f>"230911327"</f>
        <v>230911327</v>
      </c>
      <c r="E63" s="10">
        <v>74.36</v>
      </c>
      <c r="F63" s="10"/>
      <c r="G63" s="10">
        <v>61.79</v>
      </c>
      <c r="H63" s="10"/>
      <c r="I63" s="10">
        <v>66.819999999999993</v>
      </c>
    </row>
    <row r="64" spans="1:9" ht="21.75" customHeight="1">
      <c r="A64" s="8" t="s">
        <v>37</v>
      </c>
      <c r="B64" s="8" t="s">
        <v>38</v>
      </c>
      <c r="C64" s="9" t="str">
        <f t="shared" si="0"/>
        <v>230096</v>
      </c>
      <c r="D64" s="9" t="str">
        <f>"230912406"</f>
        <v>230912406</v>
      </c>
      <c r="E64" s="10">
        <v>67.900000000000006</v>
      </c>
      <c r="F64" s="10"/>
      <c r="G64" s="10">
        <v>65.38</v>
      </c>
      <c r="H64" s="10"/>
      <c r="I64" s="10">
        <v>66.39</v>
      </c>
    </row>
    <row r="65" spans="1:9" s="1" customFormat="1" ht="21.75" customHeight="1">
      <c r="A65" s="8" t="s">
        <v>37</v>
      </c>
      <c r="B65" s="8" t="s">
        <v>38</v>
      </c>
      <c r="C65" s="9" t="str">
        <f t="shared" si="0"/>
        <v>230096</v>
      </c>
      <c r="D65" s="9" t="str">
        <f>"230911530"</f>
        <v>230911530</v>
      </c>
      <c r="E65" s="10">
        <v>72.39</v>
      </c>
      <c r="F65" s="10"/>
      <c r="G65" s="10">
        <v>62.23</v>
      </c>
      <c r="H65" s="10"/>
      <c r="I65" s="10">
        <v>66.290000000000006</v>
      </c>
    </row>
    <row r="66" spans="1:9" ht="21.75" customHeight="1">
      <c r="A66" s="8" t="s">
        <v>37</v>
      </c>
      <c r="B66" s="8" t="s">
        <v>38</v>
      </c>
      <c r="C66" s="9" t="str">
        <f t="shared" si="0"/>
        <v>230096</v>
      </c>
      <c r="D66" s="9" t="str">
        <f>"230911720"</f>
        <v>230911720</v>
      </c>
      <c r="E66" s="10">
        <v>77.56</v>
      </c>
      <c r="F66" s="10"/>
      <c r="G66" s="10">
        <v>58.71</v>
      </c>
      <c r="H66" s="10"/>
      <c r="I66" s="10">
        <v>66.25</v>
      </c>
    </row>
    <row r="67" spans="1:9" ht="21.75" customHeight="1">
      <c r="A67" s="8" t="s">
        <v>37</v>
      </c>
      <c r="B67" s="8" t="s">
        <v>38</v>
      </c>
      <c r="C67" s="9" t="str">
        <f t="shared" ref="C67:C130" si="1">"230096"</f>
        <v>230096</v>
      </c>
      <c r="D67" s="9" t="str">
        <f>"230912211"</f>
        <v>230912211</v>
      </c>
      <c r="E67" s="10">
        <v>76.06</v>
      </c>
      <c r="F67" s="10"/>
      <c r="G67" s="10">
        <v>59.54</v>
      </c>
      <c r="H67" s="10"/>
      <c r="I67" s="10">
        <v>66.150000000000006</v>
      </c>
    </row>
    <row r="68" spans="1:9" ht="21.75" customHeight="1">
      <c r="A68" s="8" t="s">
        <v>37</v>
      </c>
      <c r="B68" s="8" t="s">
        <v>38</v>
      </c>
      <c r="C68" s="9" t="str">
        <f t="shared" si="1"/>
        <v>230096</v>
      </c>
      <c r="D68" s="9" t="str">
        <f>"230912316"</f>
        <v>230912316</v>
      </c>
      <c r="E68" s="10">
        <v>73.67</v>
      </c>
      <c r="F68" s="10"/>
      <c r="G68" s="10">
        <v>61.05</v>
      </c>
      <c r="H68" s="10"/>
      <c r="I68" s="10">
        <v>66.099999999999994</v>
      </c>
    </row>
    <row r="69" spans="1:9" ht="21.75" customHeight="1">
      <c r="A69" s="8" t="s">
        <v>37</v>
      </c>
      <c r="B69" s="8" t="s">
        <v>38</v>
      </c>
      <c r="C69" s="9" t="str">
        <f t="shared" si="1"/>
        <v>230096</v>
      </c>
      <c r="D69" s="9" t="str">
        <f>"230912122"</f>
        <v>230912122</v>
      </c>
      <c r="E69" s="10">
        <v>67.760000000000005</v>
      </c>
      <c r="F69" s="10"/>
      <c r="G69" s="10">
        <v>64.45</v>
      </c>
      <c r="H69" s="10"/>
      <c r="I69" s="10">
        <v>65.77</v>
      </c>
    </row>
    <row r="70" spans="1:9" ht="21.75" customHeight="1">
      <c r="A70" s="8" t="s">
        <v>37</v>
      </c>
      <c r="B70" s="8" t="s">
        <v>38</v>
      </c>
      <c r="C70" s="9" t="str">
        <f t="shared" si="1"/>
        <v>230096</v>
      </c>
      <c r="D70" s="9" t="str">
        <f>"230911602"</f>
        <v>230911602</v>
      </c>
      <c r="E70" s="10">
        <v>74.59</v>
      </c>
      <c r="F70" s="10"/>
      <c r="G70" s="10">
        <v>59.7</v>
      </c>
      <c r="H70" s="10"/>
      <c r="I70" s="10">
        <v>65.66</v>
      </c>
    </row>
    <row r="71" spans="1:9" ht="21.75" customHeight="1">
      <c r="A71" s="8" t="s">
        <v>37</v>
      </c>
      <c r="B71" s="8" t="s">
        <v>38</v>
      </c>
      <c r="C71" s="9" t="str">
        <f t="shared" si="1"/>
        <v>230096</v>
      </c>
      <c r="D71" s="9" t="str">
        <f>"230911314"</f>
        <v>230911314</v>
      </c>
      <c r="E71" s="10">
        <v>67.209999999999994</v>
      </c>
      <c r="F71" s="10"/>
      <c r="G71" s="10">
        <v>64.38</v>
      </c>
      <c r="H71" s="10"/>
      <c r="I71" s="10">
        <v>65.510000000000005</v>
      </c>
    </row>
    <row r="72" spans="1:9" ht="21.75" customHeight="1">
      <c r="A72" s="8" t="s">
        <v>37</v>
      </c>
      <c r="B72" s="8" t="s">
        <v>38</v>
      </c>
      <c r="C72" s="9" t="str">
        <f t="shared" si="1"/>
        <v>230096</v>
      </c>
      <c r="D72" s="9" t="str">
        <f>"230912014"</f>
        <v>230912014</v>
      </c>
      <c r="E72" s="10">
        <v>61.49</v>
      </c>
      <c r="F72" s="10"/>
      <c r="G72" s="10">
        <v>68.19</v>
      </c>
      <c r="H72" s="10"/>
      <c r="I72" s="10">
        <v>65.510000000000005</v>
      </c>
    </row>
    <row r="73" spans="1:9" s="1" customFormat="1" ht="21.75" customHeight="1">
      <c r="A73" s="8" t="s">
        <v>37</v>
      </c>
      <c r="B73" s="8" t="s">
        <v>38</v>
      </c>
      <c r="C73" s="9" t="str">
        <f t="shared" si="1"/>
        <v>230096</v>
      </c>
      <c r="D73" s="9" t="str">
        <f>"230911423"</f>
        <v>230911423</v>
      </c>
      <c r="E73" s="10">
        <v>71.819999999999993</v>
      </c>
      <c r="F73" s="10"/>
      <c r="G73" s="10">
        <v>61.25</v>
      </c>
      <c r="H73" s="10"/>
      <c r="I73" s="10">
        <v>65.48</v>
      </c>
    </row>
    <row r="74" spans="1:9" ht="21.75" customHeight="1">
      <c r="A74" s="8" t="s">
        <v>37</v>
      </c>
      <c r="B74" s="8" t="s">
        <v>38</v>
      </c>
      <c r="C74" s="9" t="str">
        <f t="shared" si="1"/>
        <v>230096</v>
      </c>
      <c r="D74" s="9" t="str">
        <f>"230912022"</f>
        <v>230912022</v>
      </c>
      <c r="E74" s="10">
        <v>75.73</v>
      </c>
      <c r="F74" s="10"/>
      <c r="G74" s="10">
        <v>58.63</v>
      </c>
      <c r="H74" s="10"/>
      <c r="I74" s="10">
        <v>65.47</v>
      </c>
    </row>
    <row r="75" spans="1:9" ht="21.75" customHeight="1">
      <c r="A75" s="8" t="s">
        <v>37</v>
      </c>
      <c r="B75" s="8" t="s">
        <v>38</v>
      </c>
      <c r="C75" s="9" t="str">
        <f t="shared" si="1"/>
        <v>230096</v>
      </c>
      <c r="D75" s="9" t="str">
        <f>"230912125"</f>
        <v>230912125</v>
      </c>
      <c r="E75" s="10">
        <v>64.94</v>
      </c>
      <c r="F75" s="10"/>
      <c r="G75" s="10">
        <v>65.819999999999993</v>
      </c>
      <c r="H75" s="10"/>
      <c r="I75" s="10">
        <v>65.47</v>
      </c>
    </row>
    <row r="76" spans="1:9" s="1" customFormat="1" ht="21.75" customHeight="1">
      <c r="A76" s="8" t="s">
        <v>37</v>
      </c>
      <c r="B76" s="8" t="s">
        <v>38</v>
      </c>
      <c r="C76" s="9" t="str">
        <f t="shared" si="1"/>
        <v>230096</v>
      </c>
      <c r="D76" s="9" t="str">
        <f>"230912226"</f>
        <v>230912226</v>
      </c>
      <c r="E76" s="10">
        <v>68.84</v>
      </c>
      <c r="F76" s="10"/>
      <c r="G76" s="10">
        <v>63.22</v>
      </c>
      <c r="H76" s="10"/>
      <c r="I76" s="10">
        <v>65.47</v>
      </c>
    </row>
    <row r="77" spans="1:9" ht="21.75" customHeight="1">
      <c r="A77" s="8" t="s">
        <v>37</v>
      </c>
      <c r="B77" s="8" t="s">
        <v>38</v>
      </c>
      <c r="C77" s="9" t="str">
        <f t="shared" si="1"/>
        <v>230096</v>
      </c>
      <c r="D77" s="9" t="str">
        <f>"230911728"</f>
        <v>230911728</v>
      </c>
      <c r="E77" s="10">
        <v>75.84</v>
      </c>
      <c r="F77" s="10"/>
      <c r="G77" s="10">
        <v>58.44</v>
      </c>
      <c r="H77" s="10"/>
      <c r="I77" s="10">
        <v>65.400000000000006</v>
      </c>
    </row>
    <row r="78" spans="1:9" s="1" customFormat="1" ht="21.75" customHeight="1">
      <c r="A78" s="8" t="s">
        <v>37</v>
      </c>
      <c r="B78" s="8" t="s">
        <v>38</v>
      </c>
      <c r="C78" s="9" t="str">
        <f t="shared" si="1"/>
        <v>230096</v>
      </c>
      <c r="D78" s="9" t="str">
        <f>"230912307"</f>
        <v>230912307</v>
      </c>
      <c r="E78" s="10">
        <v>68.59</v>
      </c>
      <c r="F78" s="10"/>
      <c r="G78" s="10">
        <v>63.27</v>
      </c>
      <c r="H78" s="10"/>
      <c r="I78" s="10">
        <v>65.400000000000006</v>
      </c>
    </row>
    <row r="79" spans="1:9" s="1" customFormat="1" ht="21.75" customHeight="1">
      <c r="A79" s="8" t="s">
        <v>37</v>
      </c>
      <c r="B79" s="8" t="s">
        <v>38</v>
      </c>
      <c r="C79" s="9" t="str">
        <f t="shared" si="1"/>
        <v>230096</v>
      </c>
      <c r="D79" s="9" t="str">
        <f>"230911407"</f>
        <v>230911407</v>
      </c>
      <c r="E79" s="10">
        <v>64.099999999999994</v>
      </c>
      <c r="F79" s="10"/>
      <c r="G79" s="10">
        <v>66.09</v>
      </c>
      <c r="H79" s="10"/>
      <c r="I79" s="10">
        <v>65.290000000000006</v>
      </c>
    </row>
    <row r="80" spans="1:9" ht="21.75" customHeight="1">
      <c r="A80" s="8" t="s">
        <v>37</v>
      </c>
      <c r="B80" s="8" t="s">
        <v>38</v>
      </c>
      <c r="C80" s="9" t="str">
        <f t="shared" si="1"/>
        <v>230096</v>
      </c>
      <c r="D80" s="9" t="str">
        <f>"230911610"</f>
        <v>230911610</v>
      </c>
      <c r="E80" s="10">
        <v>66.28</v>
      </c>
      <c r="F80" s="10"/>
      <c r="G80" s="10">
        <v>64.48</v>
      </c>
      <c r="H80" s="10"/>
      <c r="I80" s="10">
        <v>65.2</v>
      </c>
    </row>
    <row r="81" spans="1:9" ht="21.75" customHeight="1">
      <c r="A81" s="8" t="s">
        <v>37</v>
      </c>
      <c r="B81" s="8" t="s">
        <v>38</v>
      </c>
      <c r="C81" s="9" t="str">
        <f t="shared" si="1"/>
        <v>230096</v>
      </c>
      <c r="D81" s="9" t="str">
        <f>"230912221"</f>
        <v>230912221</v>
      </c>
      <c r="E81" s="10">
        <v>68.25</v>
      </c>
      <c r="F81" s="10"/>
      <c r="G81" s="10">
        <v>63.17</v>
      </c>
      <c r="H81" s="10"/>
      <c r="I81" s="10">
        <v>65.2</v>
      </c>
    </row>
    <row r="82" spans="1:9" ht="21.75" customHeight="1">
      <c r="A82" s="8" t="s">
        <v>37</v>
      </c>
      <c r="B82" s="8" t="s">
        <v>38</v>
      </c>
      <c r="C82" s="9" t="str">
        <f t="shared" si="1"/>
        <v>230096</v>
      </c>
      <c r="D82" s="9" t="str">
        <f>"230911330"</f>
        <v>230911330</v>
      </c>
      <c r="E82" s="10">
        <v>69.97</v>
      </c>
      <c r="F82" s="10"/>
      <c r="G82" s="10">
        <v>61.91</v>
      </c>
      <c r="H82" s="10"/>
      <c r="I82" s="10">
        <v>65.13</v>
      </c>
    </row>
    <row r="83" spans="1:9" ht="21.75" customHeight="1">
      <c r="A83" s="8" t="s">
        <v>37</v>
      </c>
      <c r="B83" s="8" t="s">
        <v>38</v>
      </c>
      <c r="C83" s="9" t="str">
        <f t="shared" si="1"/>
        <v>230096</v>
      </c>
      <c r="D83" s="9" t="str">
        <f>"230912310"</f>
        <v>230912310</v>
      </c>
      <c r="E83" s="10">
        <v>76.98</v>
      </c>
      <c r="F83" s="10"/>
      <c r="G83" s="10">
        <v>57.09</v>
      </c>
      <c r="H83" s="10"/>
      <c r="I83" s="10">
        <v>65.05</v>
      </c>
    </row>
    <row r="84" spans="1:9" ht="21.75" customHeight="1">
      <c r="A84" s="8" t="s">
        <v>37</v>
      </c>
      <c r="B84" s="8" t="s">
        <v>38</v>
      </c>
      <c r="C84" s="9" t="str">
        <f t="shared" si="1"/>
        <v>230096</v>
      </c>
      <c r="D84" s="9" t="str">
        <f>"230911616"</f>
        <v>230911616</v>
      </c>
      <c r="E84" s="10">
        <v>58.36</v>
      </c>
      <c r="F84" s="10"/>
      <c r="G84" s="10">
        <v>69.44</v>
      </c>
      <c r="H84" s="10"/>
      <c r="I84" s="10">
        <v>65.010000000000005</v>
      </c>
    </row>
    <row r="85" spans="1:9" s="1" customFormat="1" ht="21.75" customHeight="1">
      <c r="A85" s="8" t="s">
        <v>37</v>
      </c>
      <c r="B85" s="8" t="s">
        <v>38</v>
      </c>
      <c r="C85" s="9" t="str">
        <f t="shared" si="1"/>
        <v>230096</v>
      </c>
      <c r="D85" s="9" t="str">
        <f>"230912124"</f>
        <v>230912124</v>
      </c>
      <c r="E85" s="10">
        <v>73.09</v>
      </c>
      <c r="F85" s="10"/>
      <c r="G85" s="10">
        <v>59.41</v>
      </c>
      <c r="H85" s="10"/>
      <c r="I85" s="10">
        <v>64.88</v>
      </c>
    </row>
    <row r="86" spans="1:9" ht="21.75" customHeight="1">
      <c r="A86" s="8" t="s">
        <v>37</v>
      </c>
      <c r="B86" s="8" t="s">
        <v>38</v>
      </c>
      <c r="C86" s="9" t="str">
        <f t="shared" si="1"/>
        <v>230096</v>
      </c>
      <c r="D86" s="9" t="str">
        <f>"230912412"</f>
        <v>230912412</v>
      </c>
      <c r="E86" s="10">
        <v>63.09</v>
      </c>
      <c r="F86" s="10"/>
      <c r="G86" s="10">
        <v>66.010000000000005</v>
      </c>
      <c r="H86" s="10"/>
      <c r="I86" s="10">
        <v>64.84</v>
      </c>
    </row>
    <row r="87" spans="1:9" ht="21.75" customHeight="1">
      <c r="A87" s="8" t="s">
        <v>37</v>
      </c>
      <c r="B87" s="8" t="s">
        <v>38</v>
      </c>
      <c r="C87" s="9" t="str">
        <f t="shared" si="1"/>
        <v>230096</v>
      </c>
      <c r="D87" s="9" t="str">
        <f>"230911713"</f>
        <v>230911713</v>
      </c>
      <c r="E87" s="10">
        <v>62.4</v>
      </c>
      <c r="F87" s="10"/>
      <c r="G87" s="10">
        <v>66.400000000000006</v>
      </c>
      <c r="H87" s="10"/>
      <c r="I87" s="10">
        <v>64.8</v>
      </c>
    </row>
    <row r="88" spans="1:9" ht="21.75" customHeight="1">
      <c r="A88" s="8" t="s">
        <v>37</v>
      </c>
      <c r="B88" s="8" t="s">
        <v>38</v>
      </c>
      <c r="C88" s="9" t="str">
        <f t="shared" si="1"/>
        <v>230096</v>
      </c>
      <c r="D88" s="9" t="str">
        <f>"230912504"</f>
        <v>230912504</v>
      </c>
      <c r="E88" s="10">
        <v>68.14</v>
      </c>
      <c r="F88" s="10"/>
      <c r="G88" s="10">
        <v>62.57</v>
      </c>
      <c r="H88" s="10"/>
      <c r="I88" s="10">
        <v>64.8</v>
      </c>
    </row>
    <row r="89" spans="1:9" ht="21.75" customHeight="1">
      <c r="A89" s="8" t="s">
        <v>37</v>
      </c>
      <c r="B89" s="8" t="s">
        <v>38</v>
      </c>
      <c r="C89" s="9" t="str">
        <f t="shared" si="1"/>
        <v>230096</v>
      </c>
      <c r="D89" s="9" t="str">
        <f>"230911828"</f>
        <v>230911828</v>
      </c>
      <c r="E89" s="10">
        <v>61.34</v>
      </c>
      <c r="F89" s="10"/>
      <c r="G89" s="10">
        <v>67.040000000000006</v>
      </c>
      <c r="H89" s="10"/>
      <c r="I89" s="10">
        <v>64.760000000000005</v>
      </c>
    </row>
    <row r="90" spans="1:9" ht="21.75" customHeight="1">
      <c r="A90" s="8" t="s">
        <v>37</v>
      </c>
      <c r="B90" s="8" t="s">
        <v>38</v>
      </c>
      <c r="C90" s="9" t="str">
        <f t="shared" si="1"/>
        <v>230096</v>
      </c>
      <c r="D90" s="9" t="str">
        <f>"230912129"</f>
        <v>230912129</v>
      </c>
      <c r="E90" s="10">
        <v>69.08</v>
      </c>
      <c r="F90" s="10"/>
      <c r="G90" s="10">
        <v>61.84</v>
      </c>
      <c r="H90" s="10"/>
      <c r="I90" s="10">
        <v>64.739999999999995</v>
      </c>
    </row>
    <row r="91" spans="1:9" ht="21.75" customHeight="1">
      <c r="A91" s="8" t="s">
        <v>37</v>
      </c>
      <c r="B91" s="8" t="s">
        <v>38</v>
      </c>
      <c r="C91" s="9" t="str">
        <f t="shared" si="1"/>
        <v>230096</v>
      </c>
      <c r="D91" s="9" t="str">
        <f>"230911823"</f>
        <v>230911823</v>
      </c>
      <c r="E91" s="10">
        <v>63.87</v>
      </c>
      <c r="F91" s="10"/>
      <c r="G91" s="10">
        <v>65.05</v>
      </c>
      <c r="H91" s="10"/>
      <c r="I91" s="10">
        <v>64.58</v>
      </c>
    </row>
    <row r="92" spans="1:9" ht="21.75" customHeight="1">
      <c r="A92" s="8" t="s">
        <v>37</v>
      </c>
      <c r="B92" s="8" t="s">
        <v>38</v>
      </c>
      <c r="C92" s="9" t="str">
        <f t="shared" si="1"/>
        <v>230096</v>
      </c>
      <c r="D92" s="9" t="str">
        <f>"230911803"</f>
        <v>230911803</v>
      </c>
      <c r="E92" s="10">
        <v>74.010000000000005</v>
      </c>
      <c r="F92" s="10"/>
      <c r="G92" s="10">
        <v>58.23</v>
      </c>
      <c r="H92" s="10"/>
      <c r="I92" s="10">
        <v>64.540000000000006</v>
      </c>
    </row>
    <row r="93" spans="1:9" ht="21.75" customHeight="1">
      <c r="A93" s="8" t="s">
        <v>37</v>
      </c>
      <c r="B93" s="8" t="s">
        <v>38</v>
      </c>
      <c r="C93" s="9" t="str">
        <f t="shared" si="1"/>
        <v>230096</v>
      </c>
      <c r="D93" s="9" t="str">
        <f>"230912206"</f>
        <v>230912206</v>
      </c>
      <c r="E93" s="10">
        <v>74.22</v>
      </c>
      <c r="F93" s="10"/>
      <c r="G93" s="10">
        <v>57.97</v>
      </c>
      <c r="H93" s="10"/>
      <c r="I93" s="10">
        <v>64.47</v>
      </c>
    </row>
    <row r="94" spans="1:9" ht="21.75" customHeight="1">
      <c r="A94" s="8" t="s">
        <v>37</v>
      </c>
      <c r="B94" s="8" t="s">
        <v>38</v>
      </c>
      <c r="C94" s="9" t="str">
        <f t="shared" si="1"/>
        <v>230096</v>
      </c>
      <c r="D94" s="9" t="str">
        <f>"230912008"</f>
        <v>230912008</v>
      </c>
      <c r="E94" s="10">
        <v>71.81</v>
      </c>
      <c r="F94" s="10"/>
      <c r="G94" s="10">
        <v>59.09</v>
      </c>
      <c r="H94" s="10"/>
      <c r="I94" s="10">
        <v>64.180000000000007</v>
      </c>
    </row>
    <row r="95" spans="1:9" s="1" customFormat="1" ht="21.75" customHeight="1">
      <c r="A95" s="8" t="s">
        <v>37</v>
      </c>
      <c r="B95" s="8" t="s">
        <v>38</v>
      </c>
      <c r="C95" s="9" t="str">
        <f t="shared" si="1"/>
        <v>230096</v>
      </c>
      <c r="D95" s="9" t="str">
        <f>"230911730"</f>
        <v>230911730</v>
      </c>
      <c r="E95" s="10">
        <v>70.08</v>
      </c>
      <c r="F95" s="10"/>
      <c r="G95" s="10">
        <v>60.14</v>
      </c>
      <c r="H95" s="10"/>
      <c r="I95" s="10">
        <v>64.12</v>
      </c>
    </row>
    <row r="96" spans="1:9" ht="21.75" customHeight="1">
      <c r="A96" s="8" t="s">
        <v>37</v>
      </c>
      <c r="B96" s="8" t="s">
        <v>38</v>
      </c>
      <c r="C96" s="9" t="str">
        <f t="shared" si="1"/>
        <v>230096</v>
      </c>
      <c r="D96" s="9" t="str">
        <f>"230912320"</f>
        <v>230912320</v>
      </c>
      <c r="E96" s="10">
        <v>66.98</v>
      </c>
      <c r="F96" s="10"/>
      <c r="G96" s="10">
        <v>62.2</v>
      </c>
      <c r="H96" s="10"/>
      <c r="I96" s="10">
        <v>64.11</v>
      </c>
    </row>
    <row r="97" spans="1:9" ht="21.75" customHeight="1">
      <c r="A97" s="8" t="s">
        <v>37</v>
      </c>
      <c r="B97" s="8" t="s">
        <v>38</v>
      </c>
      <c r="C97" s="9" t="str">
        <f t="shared" si="1"/>
        <v>230096</v>
      </c>
      <c r="D97" s="9" t="str">
        <f>"230911529"</f>
        <v>230911529</v>
      </c>
      <c r="E97" s="10">
        <v>73.87</v>
      </c>
      <c r="F97" s="10"/>
      <c r="G97" s="10">
        <v>57.52</v>
      </c>
      <c r="H97" s="10"/>
      <c r="I97" s="10">
        <v>64.06</v>
      </c>
    </row>
    <row r="98" spans="1:9" ht="21.75" customHeight="1">
      <c r="A98" s="8" t="s">
        <v>37</v>
      </c>
      <c r="B98" s="8" t="s">
        <v>38</v>
      </c>
      <c r="C98" s="9" t="str">
        <f t="shared" si="1"/>
        <v>230096</v>
      </c>
      <c r="D98" s="9" t="str">
        <f>"230911424"</f>
        <v>230911424</v>
      </c>
      <c r="E98" s="10">
        <v>64.44</v>
      </c>
      <c r="F98" s="10"/>
      <c r="G98" s="10">
        <v>63.78</v>
      </c>
      <c r="H98" s="10"/>
      <c r="I98" s="10">
        <v>64.040000000000006</v>
      </c>
    </row>
    <row r="99" spans="1:9" s="1" customFormat="1" ht="21.75" customHeight="1">
      <c r="A99" s="8" t="s">
        <v>37</v>
      </c>
      <c r="B99" s="8" t="s">
        <v>38</v>
      </c>
      <c r="C99" s="9" t="str">
        <f t="shared" si="1"/>
        <v>230096</v>
      </c>
      <c r="D99" s="9" t="str">
        <f>"230911324"</f>
        <v>230911324</v>
      </c>
      <c r="E99" s="10">
        <v>79.400000000000006</v>
      </c>
      <c r="F99" s="10"/>
      <c r="G99" s="10">
        <v>53.63</v>
      </c>
      <c r="H99" s="10"/>
      <c r="I99" s="10">
        <v>63.94</v>
      </c>
    </row>
    <row r="100" spans="1:9" ht="21.75" customHeight="1">
      <c r="A100" s="8" t="s">
        <v>37</v>
      </c>
      <c r="B100" s="8" t="s">
        <v>38</v>
      </c>
      <c r="C100" s="9" t="str">
        <f t="shared" si="1"/>
        <v>230096</v>
      </c>
      <c r="D100" s="9" t="str">
        <f>"230911313"</f>
        <v>230911313</v>
      </c>
      <c r="E100" s="10">
        <v>64.58</v>
      </c>
      <c r="F100" s="10"/>
      <c r="G100" s="10">
        <v>63.22</v>
      </c>
      <c r="H100" s="10"/>
      <c r="I100" s="10">
        <v>63.76</v>
      </c>
    </row>
    <row r="101" spans="1:9" s="1" customFormat="1" ht="21.75" customHeight="1">
      <c r="A101" s="8" t="s">
        <v>37</v>
      </c>
      <c r="B101" s="8" t="s">
        <v>38</v>
      </c>
      <c r="C101" s="9" t="str">
        <f t="shared" si="1"/>
        <v>230096</v>
      </c>
      <c r="D101" s="9" t="str">
        <f>"230911721"</f>
        <v>230911721</v>
      </c>
      <c r="E101" s="10">
        <v>65.150000000000006</v>
      </c>
      <c r="F101" s="10"/>
      <c r="G101" s="10">
        <v>62.67</v>
      </c>
      <c r="H101" s="10"/>
      <c r="I101" s="10">
        <v>63.66</v>
      </c>
    </row>
    <row r="102" spans="1:9" ht="21.75" customHeight="1">
      <c r="A102" s="8" t="s">
        <v>37</v>
      </c>
      <c r="B102" s="8" t="s">
        <v>38</v>
      </c>
      <c r="C102" s="9" t="str">
        <f t="shared" si="1"/>
        <v>230096</v>
      </c>
      <c r="D102" s="9" t="str">
        <f>"230912006"</f>
        <v>230912006</v>
      </c>
      <c r="E102" s="10">
        <v>73.89</v>
      </c>
      <c r="F102" s="10"/>
      <c r="G102" s="10">
        <v>56.77</v>
      </c>
      <c r="H102" s="10"/>
      <c r="I102" s="10">
        <v>63.62</v>
      </c>
    </row>
    <row r="103" spans="1:9" s="1" customFormat="1" ht="21.75" customHeight="1">
      <c r="A103" s="8" t="s">
        <v>37</v>
      </c>
      <c r="B103" s="8" t="s">
        <v>38</v>
      </c>
      <c r="C103" s="9" t="str">
        <f t="shared" si="1"/>
        <v>230096</v>
      </c>
      <c r="D103" s="9" t="str">
        <f>"230911419"</f>
        <v>230911419</v>
      </c>
      <c r="E103" s="10">
        <v>71.94</v>
      </c>
      <c r="F103" s="10"/>
      <c r="G103" s="10">
        <v>57.97</v>
      </c>
      <c r="H103" s="10"/>
      <c r="I103" s="10">
        <v>63.56</v>
      </c>
    </row>
    <row r="104" spans="1:9" s="1" customFormat="1" ht="21.75" customHeight="1">
      <c r="A104" s="8" t="s">
        <v>37</v>
      </c>
      <c r="B104" s="8" t="s">
        <v>38</v>
      </c>
      <c r="C104" s="9" t="str">
        <f t="shared" si="1"/>
        <v>230096</v>
      </c>
      <c r="D104" s="9" t="str">
        <f>"230911420"</f>
        <v>230911420</v>
      </c>
      <c r="E104" s="10">
        <v>72.5</v>
      </c>
      <c r="F104" s="10"/>
      <c r="G104" s="10">
        <v>57.42</v>
      </c>
      <c r="H104" s="10"/>
      <c r="I104" s="10">
        <v>63.45</v>
      </c>
    </row>
    <row r="105" spans="1:9" ht="21.75" customHeight="1">
      <c r="A105" s="8" t="s">
        <v>37</v>
      </c>
      <c r="B105" s="8" t="s">
        <v>38</v>
      </c>
      <c r="C105" s="9" t="str">
        <f t="shared" si="1"/>
        <v>230096</v>
      </c>
      <c r="D105" s="9" t="str">
        <f>"230911822"</f>
        <v>230911822</v>
      </c>
      <c r="E105" s="10">
        <v>74.239999999999995</v>
      </c>
      <c r="F105" s="10"/>
      <c r="G105" s="10">
        <v>56.19</v>
      </c>
      <c r="H105" s="10"/>
      <c r="I105" s="10">
        <v>63.41</v>
      </c>
    </row>
    <row r="106" spans="1:9" ht="21.75" customHeight="1">
      <c r="A106" s="8" t="s">
        <v>37</v>
      </c>
      <c r="B106" s="8" t="s">
        <v>38</v>
      </c>
      <c r="C106" s="9" t="str">
        <f t="shared" si="1"/>
        <v>230096</v>
      </c>
      <c r="D106" s="9" t="str">
        <f>"230911912"</f>
        <v>230911912</v>
      </c>
      <c r="E106" s="10">
        <v>65.84</v>
      </c>
      <c r="F106" s="10"/>
      <c r="G106" s="10">
        <v>61.68</v>
      </c>
      <c r="H106" s="10"/>
      <c r="I106" s="10">
        <v>63.34</v>
      </c>
    </row>
    <row r="107" spans="1:9" ht="21.75" customHeight="1">
      <c r="A107" s="8" t="s">
        <v>37</v>
      </c>
      <c r="B107" s="8" t="s">
        <v>38</v>
      </c>
      <c r="C107" s="9" t="str">
        <f t="shared" si="1"/>
        <v>230096</v>
      </c>
      <c r="D107" s="9" t="str">
        <f>"230911818"</f>
        <v>230911818</v>
      </c>
      <c r="E107" s="10">
        <v>75.37</v>
      </c>
      <c r="F107" s="10"/>
      <c r="G107" s="10">
        <v>55.17</v>
      </c>
      <c r="H107" s="10"/>
      <c r="I107" s="10">
        <v>63.25</v>
      </c>
    </row>
    <row r="108" spans="1:9" ht="21.75" customHeight="1">
      <c r="A108" s="8" t="s">
        <v>37</v>
      </c>
      <c r="B108" s="8" t="s">
        <v>38</v>
      </c>
      <c r="C108" s="9" t="str">
        <f t="shared" si="1"/>
        <v>230096</v>
      </c>
      <c r="D108" s="9" t="str">
        <f>"230912318"</f>
        <v>230912318</v>
      </c>
      <c r="E108" s="10">
        <v>69.17</v>
      </c>
      <c r="F108" s="10"/>
      <c r="G108" s="10">
        <v>59.26</v>
      </c>
      <c r="H108" s="10"/>
      <c r="I108" s="10">
        <v>63.22</v>
      </c>
    </row>
    <row r="109" spans="1:9" ht="21.75" customHeight="1">
      <c r="A109" s="8" t="s">
        <v>37</v>
      </c>
      <c r="B109" s="8" t="s">
        <v>38</v>
      </c>
      <c r="C109" s="9" t="str">
        <f t="shared" si="1"/>
        <v>230096</v>
      </c>
      <c r="D109" s="9" t="str">
        <f>"230911810"</f>
        <v>230911810</v>
      </c>
      <c r="E109" s="10">
        <v>74.8</v>
      </c>
      <c r="F109" s="10"/>
      <c r="G109" s="10">
        <v>55.29</v>
      </c>
      <c r="H109" s="10"/>
      <c r="I109" s="10">
        <v>63.09</v>
      </c>
    </row>
    <row r="110" spans="1:9" ht="21.75" customHeight="1">
      <c r="A110" s="8" t="s">
        <v>37</v>
      </c>
      <c r="B110" s="8" t="s">
        <v>38</v>
      </c>
      <c r="C110" s="9" t="str">
        <f t="shared" si="1"/>
        <v>230096</v>
      </c>
      <c r="D110" s="9" t="str">
        <f>"230911321"</f>
        <v>230911321</v>
      </c>
      <c r="E110" s="10">
        <v>74.8</v>
      </c>
      <c r="F110" s="10"/>
      <c r="G110" s="10">
        <v>55.06</v>
      </c>
      <c r="H110" s="10"/>
      <c r="I110" s="10">
        <v>62.96</v>
      </c>
    </row>
    <row r="111" spans="1:9" s="1" customFormat="1" ht="21.75" customHeight="1">
      <c r="A111" s="8" t="s">
        <v>37</v>
      </c>
      <c r="B111" s="8" t="s">
        <v>38</v>
      </c>
      <c r="C111" s="9" t="str">
        <f t="shared" si="1"/>
        <v>230096</v>
      </c>
      <c r="D111" s="9" t="str">
        <f>"230912501"</f>
        <v>230912501</v>
      </c>
      <c r="E111" s="10">
        <v>73.88</v>
      </c>
      <c r="F111" s="10"/>
      <c r="G111" s="10">
        <v>55.42</v>
      </c>
      <c r="H111" s="10"/>
      <c r="I111" s="10">
        <v>62.8</v>
      </c>
    </row>
    <row r="112" spans="1:9" ht="21.75" customHeight="1">
      <c r="A112" s="8" t="s">
        <v>37</v>
      </c>
      <c r="B112" s="8" t="s">
        <v>38</v>
      </c>
      <c r="C112" s="9" t="str">
        <f t="shared" si="1"/>
        <v>230096</v>
      </c>
      <c r="D112" s="9" t="str">
        <f>"230911813"</f>
        <v>230911813</v>
      </c>
      <c r="E112" s="10">
        <v>60.2</v>
      </c>
      <c r="F112" s="10"/>
      <c r="G112" s="10">
        <v>64.430000000000007</v>
      </c>
      <c r="H112" s="10"/>
      <c r="I112" s="10">
        <v>62.74</v>
      </c>
    </row>
    <row r="113" spans="1:9" ht="21.75" customHeight="1">
      <c r="A113" s="8" t="s">
        <v>37</v>
      </c>
      <c r="B113" s="8" t="s">
        <v>38</v>
      </c>
      <c r="C113" s="9" t="str">
        <f t="shared" si="1"/>
        <v>230096</v>
      </c>
      <c r="D113" s="9" t="str">
        <f>"230912315"</f>
        <v>230912315</v>
      </c>
      <c r="E113" s="10">
        <v>67.55</v>
      </c>
      <c r="F113" s="10"/>
      <c r="G113" s="10">
        <v>59.5</v>
      </c>
      <c r="H113" s="10"/>
      <c r="I113" s="10">
        <v>62.72</v>
      </c>
    </row>
    <row r="114" spans="1:9" ht="21.75" customHeight="1">
      <c r="A114" s="8" t="s">
        <v>37</v>
      </c>
      <c r="B114" s="8" t="s">
        <v>38</v>
      </c>
      <c r="C114" s="9" t="str">
        <f t="shared" si="1"/>
        <v>230096</v>
      </c>
      <c r="D114" s="9" t="str">
        <f>"230911309"</f>
        <v>230911309</v>
      </c>
      <c r="E114" s="10">
        <v>67.55</v>
      </c>
      <c r="F114" s="10"/>
      <c r="G114" s="10">
        <v>59.49</v>
      </c>
      <c r="H114" s="10"/>
      <c r="I114" s="10">
        <v>62.71</v>
      </c>
    </row>
    <row r="115" spans="1:9" s="1" customFormat="1" ht="21.75" customHeight="1">
      <c r="A115" s="8" t="s">
        <v>37</v>
      </c>
      <c r="B115" s="8" t="s">
        <v>38</v>
      </c>
      <c r="C115" s="9" t="str">
        <f t="shared" si="1"/>
        <v>230096</v>
      </c>
      <c r="D115" s="9" t="str">
        <f>"230911802"</f>
        <v>230911802</v>
      </c>
      <c r="E115" s="10">
        <v>62.95</v>
      </c>
      <c r="F115" s="10"/>
      <c r="G115" s="10">
        <v>62.48</v>
      </c>
      <c r="H115" s="10"/>
      <c r="I115" s="10">
        <v>62.67</v>
      </c>
    </row>
    <row r="116" spans="1:9" ht="21.75" customHeight="1">
      <c r="A116" s="8" t="s">
        <v>37</v>
      </c>
      <c r="B116" s="8" t="s">
        <v>38</v>
      </c>
      <c r="C116" s="9" t="str">
        <f t="shared" si="1"/>
        <v>230096</v>
      </c>
      <c r="D116" s="9" t="str">
        <f>"230911430"</f>
        <v>230911430</v>
      </c>
      <c r="E116" s="10">
        <v>72.05</v>
      </c>
      <c r="F116" s="10"/>
      <c r="G116" s="10">
        <v>56.39</v>
      </c>
      <c r="H116" s="10"/>
      <c r="I116" s="10">
        <v>62.65</v>
      </c>
    </row>
    <row r="117" spans="1:9" ht="21.75" customHeight="1">
      <c r="A117" s="8" t="s">
        <v>37</v>
      </c>
      <c r="B117" s="8" t="s">
        <v>38</v>
      </c>
      <c r="C117" s="9" t="str">
        <f t="shared" si="1"/>
        <v>230096</v>
      </c>
      <c r="D117" s="9" t="str">
        <f>"230911927"</f>
        <v>230911927</v>
      </c>
      <c r="E117" s="10">
        <v>74.23</v>
      </c>
      <c r="F117" s="10"/>
      <c r="G117" s="10">
        <v>54.88</v>
      </c>
      <c r="H117" s="10"/>
      <c r="I117" s="10">
        <v>62.62</v>
      </c>
    </row>
    <row r="118" spans="1:9" s="1" customFormat="1" ht="21.75" customHeight="1">
      <c r="A118" s="8" t="s">
        <v>37</v>
      </c>
      <c r="B118" s="8" t="s">
        <v>38</v>
      </c>
      <c r="C118" s="9" t="str">
        <f t="shared" si="1"/>
        <v>230096</v>
      </c>
      <c r="D118" s="9" t="str">
        <f>"230912411"</f>
        <v>230912411</v>
      </c>
      <c r="E118" s="10">
        <v>67.7</v>
      </c>
      <c r="F118" s="10"/>
      <c r="G118" s="10">
        <v>59.22</v>
      </c>
      <c r="H118" s="10"/>
      <c r="I118" s="10">
        <v>62.61</v>
      </c>
    </row>
    <row r="119" spans="1:9" ht="21.75" customHeight="1">
      <c r="A119" s="8" t="s">
        <v>37</v>
      </c>
      <c r="B119" s="8" t="s">
        <v>38</v>
      </c>
      <c r="C119" s="9" t="str">
        <f t="shared" si="1"/>
        <v>230096</v>
      </c>
      <c r="D119" s="9" t="str">
        <f>"230911310"</f>
        <v>230911310</v>
      </c>
      <c r="E119" s="10">
        <v>77.92</v>
      </c>
      <c r="F119" s="10"/>
      <c r="G119" s="10">
        <v>52.37</v>
      </c>
      <c r="H119" s="10"/>
      <c r="I119" s="10">
        <v>62.59</v>
      </c>
    </row>
    <row r="120" spans="1:9" ht="21.75" customHeight="1">
      <c r="A120" s="8" t="s">
        <v>37</v>
      </c>
      <c r="B120" s="8" t="s">
        <v>38</v>
      </c>
      <c r="C120" s="9" t="str">
        <f t="shared" si="1"/>
        <v>230096</v>
      </c>
      <c r="D120" s="9" t="str">
        <f>"230912002"</f>
        <v>230912002</v>
      </c>
      <c r="E120" s="10">
        <v>72.03</v>
      </c>
      <c r="F120" s="10"/>
      <c r="G120" s="10">
        <v>56.17</v>
      </c>
      <c r="H120" s="10"/>
      <c r="I120" s="10">
        <v>62.51</v>
      </c>
    </row>
    <row r="121" spans="1:9" ht="21.75" customHeight="1">
      <c r="A121" s="8" t="s">
        <v>37</v>
      </c>
      <c r="B121" s="8" t="s">
        <v>38</v>
      </c>
      <c r="C121" s="9" t="str">
        <f t="shared" si="1"/>
        <v>230096</v>
      </c>
      <c r="D121" s="9" t="str">
        <f>"230912317"</f>
        <v>230912317</v>
      </c>
      <c r="E121" s="10">
        <v>75.709999999999994</v>
      </c>
      <c r="F121" s="10"/>
      <c r="G121" s="10">
        <v>53.69</v>
      </c>
      <c r="H121" s="10"/>
      <c r="I121" s="10">
        <v>62.5</v>
      </c>
    </row>
    <row r="122" spans="1:9" ht="21.75" customHeight="1">
      <c r="A122" s="8" t="s">
        <v>37</v>
      </c>
      <c r="B122" s="8" t="s">
        <v>38</v>
      </c>
      <c r="C122" s="9" t="str">
        <f t="shared" si="1"/>
        <v>230096</v>
      </c>
      <c r="D122" s="9" t="str">
        <f>"230911521"</f>
        <v>230911521</v>
      </c>
      <c r="E122" s="10">
        <v>67.55</v>
      </c>
      <c r="F122" s="10"/>
      <c r="G122" s="10">
        <v>58.83</v>
      </c>
      <c r="H122" s="10"/>
      <c r="I122" s="10">
        <v>62.32</v>
      </c>
    </row>
    <row r="123" spans="1:9" ht="21.75" customHeight="1">
      <c r="A123" s="8" t="s">
        <v>37</v>
      </c>
      <c r="B123" s="8" t="s">
        <v>38</v>
      </c>
      <c r="C123" s="9" t="str">
        <f t="shared" si="1"/>
        <v>230096</v>
      </c>
      <c r="D123" s="9" t="str">
        <f>"230912228"</f>
        <v>230912228</v>
      </c>
      <c r="E123" s="10">
        <v>55.69</v>
      </c>
      <c r="F123" s="10"/>
      <c r="G123" s="10">
        <v>66.64</v>
      </c>
      <c r="H123" s="10"/>
      <c r="I123" s="10">
        <v>62.26</v>
      </c>
    </row>
    <row r="124" spans="1:9" s="1" customFormat="1" ht="21.75" customHeight="1">
      <c r="A124" s="8" t="s">
        <v>37</v>
      </c>
      <c r="B124" s="8" t="s">
        <v>38</v>
      </c>
      <c r="C124" s="9" t="str">
        <f t="shared" si="1"/>
        <v>230096</v>
      </c>
      <c r="D124" s="9" t="str">
        <f>"230911524"</f>
        <v>230911524</v>
      </c>
      <c r="E124" s="10">
        <v>55.95</v>
      </c>
      <c r="F124" s="10"/>
      <c r="G124" s="10">
        <v>66.45</v>
      </c>
      <c r="H124" s="10"/>
      <c r="I124" s="10">
        <v>62.25</v>
      </c>
    </row>
    <row r="125" spans="1:9" ht="21.75" customHeight="1">
      <c r="A125" s="8" t="s">
        <v>37</v>
      </c>
      <c r="B125" s="8" t="s">
        <v>38</v>
      </c>
      <c r="C125" s="9" t="str">
        <f t="shared" si="1"/>
        <v>230096</v>
      </c>
      <c r="D125" s="9" t="str">
        <f>"230911527"</f>
        <v>230911527</v>
      </c>
      <c r="E125" s="10">
        <v>74.58</v>
      </c>
      <c r="F125" s="10"/>
      <c r="G125" s="10">
        <v>53.96</v>
      </c>
      <c r="H125" s="10"/>
      <c r="I125" s="10">
        <v>62.21</v>
      </c>
    </row>
    <row r="126" spans="1:9" ht="21.75" customHeight="1">
      <c r="A126" s="8" t="s">
        <v>37</v>
      </c>
      <c r="B126" s="8" t="s">
        <v>38</v>
      </c>
      <c r="C126" s="9" t="str">
        <f t="shared" si="1"/>
        <v>230096</v>
      </c>
      <c r="D126" s="9" t="str">
        <f>"230912013"</f>
        <v>230912013</v>
      </c>
      <c r="E126" s="10">
        <v>73.55</v>
      </c>
      <c r="F126" s="10"/>
      <c r="G126" s="10">
        <v>54.65</v>
      </c>
      <c r="H126" s="10"/>
      <c r="I126" s="10">
        <v>62.21</v>
      </c>
    </row>
    <row r="127" spans="1:9" s="1" customFormat="1" ht="21.75" customHeight="1">
      <c r="A127" s="8" t="s">
        <v>37</v>
      </c>
      <c r="B127" s="8" t="s">
        <v>38</v>
      </c>
      <c r="C127" s="9" t="str">
        <f t="shared" si="1"/>
        <v>230096</v>
      </c>
      <c r="D127" s="9" t="str">
        <f>"230912327"</f>
        <v>230912327</v>
      </c>
      <c r="E127" s="10">
        <v>76.08</v>
      </c>
      <c r="F127" s="10"/>
      <c r="G127" s="10">
        <v>52.96</v>
      </c>
      <c r="H127" s="10"/>
      <c r="I127" s="10">
        <v>62.21</v>
      </c>
    </row>
    <row r="128" spans="1:9" ht="21.75" customHeight="1">
      <c r="A128" s="8" t="s">
        <v>37</v>
      </c>
      <c r="B128" s="8" t="s">
        <v>38</v>
      </c>
      <c r="C128" s="9" t="str">
        <f t="shared" si="1"/>
        <v>230096</v>
      </c>
      <c r="D128" s="9" t="str">
        <f>"230911820"</f>
        <v>230911820</v>
      </c>
      <c r="E128" s="10">
        <v>66.08</v>
      </c>
      <c r="F128" s="10"/>
      <c r="G128" s="10">
        <v>59.58</v>
      </c>
      <c r="H128" s="10"/>
      <c r="I128" s="10">
        <v>62.18</v>
      </c>
    </row>
    <row r="129" spans="1:9" ht="21.75" customHeight="1">
      <c r="A129" s="8" t="s">
        <v>37</v>
      </c>
      <c r="B129" s="8" t="s">
        <v>38</v>
      </c>
      <c r="C129" s="9" t="str">
        <f t="shared" si="1"/>
        <v>230096</v>
      </c>
      <c r="D129" s="9" t="str">
        <f>"230912419"</f>
        <v>230912419</v>
      </c>
      <c r="E129" s="10">
        <v>67.209999999999994</v>
      </c>
      <c r="F129" s="10"/>
      <c r="G129" s="10">
        <v>58.82</v>
      </c>
      <c r="H129" s="10"/>
      <c r="I129" s="10">
        <v>62.18</v>
      </c>
    </row>
    <row r="130" spans="1:9" ht="21.75" customHeight="1">
      <c r="A130" s="8" t="s">
        <v>37</v>
      </c>
      <c r="B130" s="8" t="s">
        <v>38</v>
      </c>
      <c r="C130" s="9" t="str">
        <f t="shared" si="1"/>
        <v>230096</v>
      </c>
      <c r="D130" s="9" t="str">
        <f>"230911703"</f>
        <v>230911703</v>
      </c>
      <c r="E130" s="10">
        <v>71</v>
      </c>
      <c r="F130" s="10"/>
      <c r="G130" s="10">
        <v>56.26</v>
      </c>
      <c r="H130" s="10"/>
      <c r="I130" s="10">
        <v>62.16</v>
      </c>
    </row>
    <row r="131" spans="1:9" ht="21.75" customHeight="1">
      <c r="A131" s="8" t="s">
        <v>37</v>
      </c>
      <c r="B131" s="8" t="s">
        <v>38</v>
      </c>
      <c r="C131" s="9" t="str">
        <f t="shared" ref="C131:C194" si="2">"230096"</f>
        <v>230096</v>
      </c>
      <c r="D131" s="9" t="str">
        <f>"230912218"</f>
        <v>230912218</v>
      </c>
      <c r="E131" s="10">
        <v>69.62</v>
      </c>
      <c r="F131" s="10"/>
      <c r="G131" s="10">
        <v>56.88</v>
      </c>
      <c r="H131" s="10"/>
      <c r="I131" s="10">
        <v>61.98</v>
      </c>
    </row>
    <row r="132" spans="1:9" ht="21.75" customHeight="1">
      <c r="A132" s="8" t="s">
        <v>37</v>
      </c>
      <c r="B132" s="8" t="s">
        <v>38</v>
      </c>
      <c r="C132" s="9" t="str">
        <f t="shared" si="2"/>
        <v>230096</v>
      </c>
      <c r="D132" s="9" t="str">
        <f>"230912024"</f>
        <v>230912024</v>
      </c>
      <c r="E132" s="10">
        <v>67.45</v>
      </c>
      <c r="F132" s="10"/>
      <c r="G132" s="10">
        <v>58.07</v>
      </c>
      <c r="H132" s="10"/>
      <c r="I132" s="10">
        <v>61.82</v>
      </c>
    </row>
    <row r="133" spans="1:9" ht="21.75" customHeight="1">
      <c r="A133" s="8" t="s">
        <v>37</v>
      </c>
      <c r="B133" s="8" t="s">
        <v>38</v>
      </c>
      <c r="C133" s="9" t="str">
        <f t="shared" si="2"/>
        <v>230096</v>
      </c>
      <c r="D133" s="9" t="str">
        <f>"230912222"</f>
        <v>230912222</v>
      </c>
      <c r="E133" s="10">
        <v>66.41</v>
      </c>
      <c r="F133" s="10"/>
      <c r="G133" s="10">
        <v>58.72</v>
      </c>
      <c r="H133" s="10"/>
      <c r="I133" s="10">
        <v>61.8</v>
      </c>
    </row>
    <row r="134" spans="1:9" ht="21.75" customHeight="1">
      <c r="A134" s="8" t="s">
        <v>37</v>
      </c>
      <c r="B134" s="8" t="s">
        <v>38</v>
      </c>
      <c r="C134" s="9" t="str">
        <f t="shared" si="2"/>
        <v>230096</v>
      </c>
      <c r="D134" s="9" t="str">
        <f>"230912204"</f>
        <v>230912204</v>
      </c>
      <c r="E134" s="10">
        <v>62.4</v>
      </c>
      <c r="F134" s="10"/>
      <c r="G134" s="10">
        <v>61.3</v>
      </c>
      <c r="H134" s="10"/>
      <c r="I134" s="10">
        <v>61.74</v>
      </c>
    </row>
    <row r="135" spans="1:9" ht="21.75" customHeight="1">
      <c r="A135" s="8" t="s">
        <v>37</v>
      </c>
      <c r="B135" s="8" t="s">
        <v>38</v>
      </c>
      <c r="C135" s="9" t="str">
        <f t="shared" si="2"/>
        <v>230096</v>
      </c>
      <c r="D135" s="9" t="str">
        <f>"230912404"</f>
        <v>230912404</v>
      </c>
      <c r="E135" s="10">
        <v>69.290000000000006</v>
      </c>
      <c r="F135" s="10"/>
      <c r="G135" s="10">
        <v>56.32</v>
      </c>
      <c r="H135" s="10"/>
      <c r="I135" s="10">
        <v>61.51</v>
      </c>
    </row>
    <row r="136" spans="1:9" ht="21.75" customHeight="1">
      <c r="A136" s="8" t="s">
        <v>37</v>
      </c>
      <c r="B136" s="8" t="s">
        <v>38</v>
      </c>
      <c r="C136" s="9" t="str">
        <f t="shared" si="2"/>
        <v>230096</v>
      </c>
      <c r="D136" s="9" t="str">
        <f>"230911824"</f>
        <v>230911824</v>
      </c>
      <c r="E136" s="10">
        <v>65.95</v>
      </c>
      <c r="F136" s="10"/>
      <c r="G136" s="10">
        <v>58.53</v>
      </c>
      <c r="H136" s="10"/>
      <c r="I136" s="10">
        <v>61.5</v>
      </c>
    </row>
    <row r="137" spans="1:9" s="1" customFormat="1" ht="21.75" customHeight="1">
      <c r="A137" s="8" t="s">
        <v>37</v>
      </c>
      <c r="B137" s="8" t="s">
        <v>38</v>
      </c>
      <c r="C137" s="9" t="str">
        <f t="shared" si="2"/>
        <v>230096</v>
      </c>
      <c r="D137" s="9" t="str">
        <f>"230911709"</f>
        <v>230911709</v>
      </c>
      <c r="E137" s="10">
        <v>69.959999999999994</v>
      </c>
      <c r="F137" s="10"/>
      <c r="G137" s="10">
        <v>55.67</v>
      </c>
      <c r="H137" s="10"/>
      <c r="I137" s="10">
        <v>61.39</v>
      </c>
    </row>
    <row r="138" spans="1:9" ht="21.75" customHeight="1">
      <c r="A138" s="8" t="s">
        <v>37</v>
      </c>
      <c r="B138" s="8" t="s">
        <v>38</v>
      </c>
      <c r="C138" s="9" t="str">
        <f t="shared" si="2"/>
        <v>230096</v>
      </c>
      <c r="D138" s="9" t="str">
        <f>"230912217"</f>
        <v>230912217</v>
      </c>
      <c r="E138" s="10">
        <v>70.08</v>
      </c>
      <c r="F138" s="10"/>
      <c r="G138" s="10">
        <v>55.59</v>
      </c>
      <c r="H138" s="10"/>
      <c r="I138" s="10">
        <v>61.39</v>
      </c>
    </row>
    <row r="139" spans="1:9" s="1" customFormat="1" ht="21.75" customHeight="1">
      <c r="A139" s="8" t="s">
        <v>37</v>
      </c>
      <c r="B139" s="8" t="s">
        <v>38</v>
      </c>
      <c r="C139" s="9" t="str">
        <f t="shared" si="2"/>
        <v>230096</v>
      </c>
      <c r="D139" s="9" t="str">
        <f>"230911723"</f>
        <v>230911723</v>
      </c>
      <c r="E139" s="10">
        <v>66.739999999999995</v>
      </c>
      <c r="F139" s="10"/>
      <c r="G139" s="10">
        <v>57.77</v>
      </c>
      <c r="H139" s="10"/>
      <c r="I139" s="10">
        <v>61.36</v>
      </c>
    </row>
    <row r="140" spans="1:9" ht="21.75" customHeight="1">
      <c r="A140" s="8" t="s">
        <v>37</v>
      </c>
      <c r="B140" s="8" t="s">
        <v>38</v>
      </c>
      <c r="C140" s="9" t="str">
        <f t="shared" si="2"/>
        <v>230096</v>
      </c>
      <c r="D140" s="9" t="str">
        <f>"230912423"</f>
        <v>230912423</v>
      </c>
      <c r="E140" s="10">
        <v>65.36</v>
      </c>
      <c r="F140" s="10"/>
      <c r="G140" s="10">
        <v>58.53</v>
      </c>
      <c r="H140" s="10"/>
      <c r="I140" s="10">
        <v>61.26</v>
      </c>
    </row>
    <row r="141" spans="1:9" ht="21.75" customHeight="1">
      <c r="A141" s="8" t="s">
        <v>37</v>
      </c>
      <c r="B141" s="8" t="s">
        <v>38</v>
      </c>
      <c r="C141" s="9" t="str">
        <f t="shared" si="2"/>
        <v>230096</v>
      </c>
      <c r="D141" s="9" t="str">
        <f>"230911821"</f>
        <v>230911821</v>
      </c>
      <c r="E141" s="10">
        <v>66.989999999999995</v>
      </c>
      <c r="F141" s="10"/>
      <c r="G141" s="10">
        <v>57.43</v>
      </c>
      <c r="H141" s="10"/>
      <c r="I141" s="10">
        <v>61.25</v>
      </c>
    </row>
    <row r="142" spans="1:9" ht="21.75" customHeight="1">
      <c r="A142" s="8" t="s">
        <v>37</v>
      </c>
      <c r="B142" s="8" t="s">
        <v>38</v>
      </c>
      <c r="C142" s="9" t="str">
        <f t="shared" si="2"/>
        <v>230096</v>
      </c>
      <c r="D142" s="9" t="str">
        <f>"230912102"</f>
        <v>230912102</v>
      </c>
      <c r="E142" s="10">
        <v>65.709999999999994</v>
      </c>
      <c r="F142" s="10"/>
      <c r="G142" s="10">
        <v>58.16</v>
      </c>
      <c r="H142" s="10"/>
      <c r="I142" s="10">
        <v>61.18</v>
      </c>
    </row>
    <row r="143" spans="1:9" ht="21.75" customHeight="1">
      <c r="A143" s="8" t="s">
        <v>37</v>
      </c>
      <c r="B143" s="8" t="s">
        <v>38</v>
      </c>
      <c r="C143" s="9" t="str">
        <f t="shared" si="2"/>
        <v>230096</v>
      </c>
      <c r="D143" s="9" t="str">
        <f>"230912112"</f>
        <v>230912112</v>
      </c>
      <c r="E143" s="10">
        <v>74.47</v>
      </c>
      <c r="F143" s="10"/>
      <c r="G143" s="10">
        <v>52.32</v>
      </c>
      <c r="H143" s="10"/>
      <c r="I143" s="10">
        <v>61.18</v>
      </c>
    </row>
    <row r="144" spans="1:9" ht="21.75" customHeight="1">
      <c r="A144" s="8" t="s">
        <v>37</v>
      </c>
      <c r="B144" s="8" t="s">
        <v>38</v>
      </c>
      <c r="C144" s="9" t="str">
        <f t="shared" si="2"/>
        <v>230096</v>
      </c>
      <c r="D144" s="9" t="str">
        <f>"230912515"</f>
        <v>230912515</v>
      </c>
      <c r="E144" s="10">
        <v>63.86</v>
      </c>
      <c r="F144" s="10"/>
      <c r="G144" s="10">
        <v>59.32</v>
      </c>
      <c r="H144" s="10"/>
      <c r="I144" s="10">
        <v>61.14</v>
      </c>
    </row>
    <row r="145" spans="1:9" s="1" customFormat="1" ht="21.75" customHeight="1">
      <c r="A145" s="8" t="s">
        <v>37</v>
      </c>
      <c r="B145" s="8" t="s">
        <v>38</v>
      </c>
      <c r="C145" s="9" t="str">
        <f t="shared" si="2"/>
        <v>230096</v>
      </c>
      <c r="D145" s="9" t="str">
        <f>"230911928"</f>
        <v>230911928</v>
      </c>
      <c r="E145" s="10">
        <v>75.27</v>
      </c>
      <c r="F145" s="10"/>
      <c r="G145" s="10">
        <v>51.67</v>
      </c>
      <c r="H145" s="10"/>
      <c r="I145" s="10">
        <v>61.11</v>
      </c>
    </row>
    <row r="146" spans="1:9" ht="21.75" customHeight="1">
      <c r="A146" s="8" t="s">
        <v>37</v>
      </c>
      <c r="B146" s="8" t="s">
        <v>38</v>
      </c>
      <c r="C146" s="9" t="str">
        <f t="shared" si="2"/>
        <v>230096</v>
      </c>
      <c r="D146" s="9" t="str">
        <f>"230911401"</f>
        <v>230911401</v>
      </c>
      <c r="E146" s="10">
        <v>68.709999999999994</v>
      </c>
      <c r="F146" s="10"/>
      <c r="G146" s="10">
        <v>56.02</v>
      </c>
      <c r="H146" s="10"/>
      <c r="I146" s="10">
        <v>61.1</v>
      </c>
    </row>
    <row r="147" spans="1:9" ht="21.75" customHeight="1">
      <c r="A147" s="8" t="s">
        <v>37</v>
      </c>
      <c r="B147" s="8" t="s">
        <v>38</v>
      </c>
      <c r="C147" s="9" t="str">
        <f t="shared" si="2"/>
        <v>230096</v>
      </c>
      <c r="D147" s="9" t="str">
        <f>"230912106"</f>
        <v>230912106</v>
      </c>
      <c r="E147" s="10">
        <v>69.069999999999993</v>
      </c>
      <c r="F147" s="10"/>
      <c r="G147" s="10">
        <v>55.62</v>
      </c>
      <c r="H147" s="10"/>
      <c r="I147" s="10">
        <v>61</v>
      </c>
    </row>
    <row r="148" spans="1:9" s="1" customFormat="1" ht="21.75" customHeight="1">
      <c r="A148" s="8" t="s">
        <v>37</v>
      </c>
      <c r="B148" s="8" t="s">
        <v>38</v>
      </c>
      <c r="C148" s="9" t="str">
        <f t="shared" si="2"/>
        <v>230096</v>
      </c>
      <c r="D148" s="9" t="str">
        <f>"230911618"</f>
        <v>230911618</v>
      </c>
      <c r="E148" s="10">
        <v>73.88</v>
      </c>
      <c r="F148" s="10"/>
      <c r="G148" s="10">
        <v>52.4</v>
      </c>
      <c r="H148" s="10"/>
      <c r="I148" s="10">
        <v>60.99</v>
      </c>
    </row>
    <row r="149" spans="1:9" ht="21.75" customHeight="1">
      <c r="A149" s="8" t="s">
        <v>37</v>
      </c>
      <c r="B149" s="8" t="s">
        <v>38</v>
      </c>
      <c r="C149" s="9" t="str">
        <f t="shared" si="2"/>
        <v>230096</v>
      </c>
      <c r="D149" s="9" t="str">
        <f>"230912517"</f>
        <v>230912517</v>
      </c>
      <c r="E149" s="10">
        <v>74.209999999999994</v>
      </c>
      <c r="F149" s="10"/>
      <c r="G149" s="10">
        <v>52.15</v>
      </c>
      <c r="H149" s="10"/>
      <c r="I149" s="10">
        <v>60.97</v>
      </c>
    </row>
    <row r="150" spans="1:9" ht="21.75" customHeight="1">
      <c r="A150" s="8" t="s">
        <v>37</v>
      </c>
      <c r="B150" s="8" t="s">
        <v>38</v>
      </c>
      <c r="C150" s="9" t="str">
        <f t="shared" si="2"/>
        <v>230096</v>
      </c>
      <c r="D150" s="9" t="str">
        <f>"230911402"</f>
        <v>230911402</v>
      </c>
      <c r="E150" s="10">
        <v>67.209999999999994</v>
      </c>
      <c r="F150" s="10"/>
      <c r="G150" s="10">
        <v>56.74</v>
      </c>
      <c r="H150" s="10"/>
      <c r="I150" s="10">
        <v>60.93</v>
      </c>
    </row>
    <row r="151" spans="1:9" ht="21.75" customHeight="1">
      <c r="A151" s="8" t="s">
        <v>37</v>
      </c>
      <c r="B151" s="8" t="s">
        <v>38</v>
      </c>
      <c r="C151" s="9" t="str">
        <f t="shared" si="2"/>
        <v>230096</v>
      </c>
      <c r="D151" s="9" t="str">
        <f>"230911412"</f>
        <v>230911412</v>
      </c>
      <c r="E151" s="10">
        <v>62.26</v>
      </c>
      <c r="F151" s="10"/>
      <c r="G151" s="10">
        <v>59.99</v>
      </c>
      <c r="H151" s="10"/>
      <c r="I151" s="10">
        <v>60.9</v>
      </c>
    </row>
    <row r="152" spans="1:9" s="1" customFormat="1" ht="21.75" customHeight="1">
      <c r="A152" s="8" t="s">
        <v>37</v>
      </c>
      <c r="B152" s="8" t="s">
        <v>38</v>
      </c>
      <c r="C152" s="9" t="str">
        <f t="shared" si="2"/>
        <v>230096</v>
      </c>
      <c r="D152" s="9" t="str">
        <f>"230912127"</f>
        <v>230912127</v>
      </c>
      <c r="E152" s="10">
        <v>64.58</v>
      </c>
      <c r="F152" s="10"/>
      <c r="G152" s="10">
        <v>58.41</v>
      </c>
      <c r="H152" s="10"/>
      <c r="I152" s="10">
        <v>60.88</v>
      </c>
    </row>
    <row r="153" spans="1:9" ht="21.75" customHeight="1">
      <c r="A153" s="8" t="s">
        <v>37</v>
      </c>
      <c r="B153" s="8" t="s">
        <v>38</v>
      </c>
      <c r="C153" s="9" t="str">
        <f t="shared" si="2"/>
        <v>230096</v>
      </c>
      <c r="D153" s="9" t="str">
        <f>"230911827"</f>
        <v>230911827</v>
      </c>
      <c r="E153" s="10">
        <v>66.64</v>
      </c>
      <c r="F153" s="10"/>
      <c r="G153" s="10">
        <v>56.69</v>
      </c>
      <c r="H153" s="10"/>
      <c r="I153" s="10">
        <v>60.67</v>
      </c>
    </row>
    <row r="154" spans="1:9" ht="21.75" customHeight="1">
      <c r="A154" s="8" t="s">
        <v>37</v>
      </c>
      <c r="B154" s="8" t="s">
        <v>38</v>
      </c>
      <c r="C154" s="9" t="str">
        <f t="shared" si="2"/>
        <v>230096</v>
      </c>
      <c r="D154" s="9" t="str">
        <f>"230912324"</f>
        <v>230912324</v>
      </c>
      <c r="E154" s="10">
        <v>71.819999999999993</v>
      </c>
      <c r="F154" s="10"/>
      <c r="G154" s="10">
        <v>53.14</v>
      </c>
      <c r="H154" s="10"/>
      <c r="I154" s="10">
        <v>60.61</v>
      </c>
    </row>
    <row r="155" spans="1:9" ht="21.75" customHeight="1">
      <c r="A155" s="8" t="s">
        <v>37</v>
      </c>
      <c r="B155" s="8" t="s">
        <v>38</v>
      </c>
      <c r="C155" s="9" t="str">
        <f t="shared" si="2"/>
        <v>230096</v>
      </c>
      <c r="D155" s="9" t="str">
        <f>"230912422"</f>
        <v>230912422</v>
      </c>
      <c r="E155" s="10">
        <v>71.709999999999994</v>
      </c>
      <c r="F155" s="10"/>
      <c r="G155" s="10">
        <v>53.1</v>
      </c>
      <c r="H155" s="10"/>
      <c r="I155" s="10">
        <v>60.54</v>
      </c>
    </row>
    <row r="156" spans="1:9" ht="21.75" customHeight="1">
      <c r="A156" s="8" t="s">
        <v>37</v>
      </c>
      <c r="B156" s="8" t="s">
        <v>38</v>
      </c>
      <c r="C156" s="9" t="str">
        <f t="shared" si="2"/>
        <v>230096</v>
      </c>
      <c r="D156" s="9" t="str">
        <f>"230911717"</f>
        <v>230911717</v>
      </c>
      <c r="E156" s="10">
        <v>70.209999999999994</v>
      </c>
      <c r="F156" s="10"/>
      <c r="G156" s="10">
        <v>53.91</v>
      </c>
      <c r="H156" s="10"/>
      <c r="I156" s="10">
        <v>60.43</v>
      </c>
    </row>
    <row r="157" spans="1:9" s="1" customFormat="1" ht="21.75" customHeight="1">
      <c r="A157" s="8" t="s">
        <v>37</v>
      </c>
      <c r="B157" s="8" t="s">
        <v>38</v>
      </c>
      <c r="C157" s="9" t="str">
        <f t="shared" si="2"/>
        <v>230096</v>
      </c>
      <c r="D157" s="9" t="str">
        <f>"230911614"</f>
        <v>230911614</v>
      </c>
      <c r="E157" s="10">
        <v>70.540000000000006</v>
      </c>
      <c r="F157" s="10"/>
      <c r="G157" s="10">
        <v>53.55</v>
      </c>
      <c r="H157" s="10"/>
      <c r="I157" s="10">
        <v>60.35</v>
      </c>
    </row>
    <row r="158" spans="1:9" ht="21.75" customHeight="1">
      <c r="A158" s="8" t="s">
        <v>37</v>
      </c>
      <c r="B158" s="8" t="s">
        <v>38</v>
      </c>
      <c r="C158" s="9" t="str">
        <f t="shared" si="2"/>
        <v>230096</v>
      </c>
      <c r="D158" s="9" t="str">
        <f>"230911704"</f>
        <v>230911704</v>
      </c>
      <c r="E158" s="10">
        <v>62.15</v>
      </c>
      <c r="F158" s="10"/>
      <c r="G158" s="10">
        <v>59.07</v>
      </c>
      <c r="H158" s="10"/>
      <c r="I158" s="10">
        <v>60.3</v>
      </c>
    </row>
    <row r="159" spans="1:9" ht="21.75" customHeight="1">
      <c r="A159" s="8" t="s">
        <v>37</v>
      </c>
      <c r="B159" s="8" t="s">
        <v>38</v>
      </c>
      <c r="C159" s="9" t="str">
        <f t="shared" si="2"/>
        <v>230096</v>
      </c>
      <c r="D159" s="9" t="str">
        <f>"230911919"</f>
        <v>230911919</v>
      </c>
      <c r="E159" s="10">
        <v>76.069999999999993</v>
      </c>
      <c r="F159" s="10"/>
      <c r="G159" s="10">
        <v>49.54</v>
      </c>
      <c r="H159" s="10"/>
      <c r="I159" s="10">
        <v>60.15</v>
      </c>
    </row>
    <row r="160" spans="1:9" ht="21.75" customHeight="1">
      <c r="A160" s="8" t="s">
        <v>37</v>
      </c>
      <c r="B160" s="8" t="s">
        <v>38</v>
      </c>
      <c r="C160" s="9" t="str">
        <f t="shared" si="2"/>
        <v>230096</v>
      </c>
      <c r="D160" s="9" t="str">
        <f>"230912123"</f>
        <v>230912123</v>
      </c>
      <c r="E160" s="10">
        <v>64.92</v>
      </c>
      <c r="F160" s="10"/>
      <c r="G160" s="10">
        <v>56.88</v>
      </c>
      <c r="H160" s="10"/>
      <c r="I160" s="10">
        <v>60.1</v>
      </c>
    </row>
    <row r="161" spans="1:9" s="1" customFormat="1" ht="21.75" customHeight="1">
      <c r="A161" s="8" t="s">
        <v>37</v>
      </c>
      <c r="B161" s="8" t="s">
        <v>38</v>
      </c>
      <c r="C161" s="9" t="str">
        <f t="shared" si="2"/>
        <v>230096</v>
      </c>
      <c r="D161" s="9" t="str">
        <f>"230911418"</f>
        <v>230911418</v>
      </c>
      <c r="E161" s="10">
        <v>72.16</v>
      </c>
      <c r="F161" s="10"/>
      <c r="G161" s="10">
        <v>52.01</v>
      </c>
      <c r="H161" s="10"/>
      <c r="I161" s="10">
        <v>60.07</v>
      </c>
    </row>
    <row r="162" spans="1:9" ht="21.75" customHeight="1">
      <c r="A162" s="8" t="s">
        <v>37</v>
      </c>
      <c r="B162" s="8" t="s">
        <v>38</v>
      </c>
      <c r="C162" s="9" t="str">
        <f t="shared" si="2"/>
        <v>230096</v>
      </c>
      <c r="D162" s="9" t="str">
        <f>"230912116"</f>
        <v>230912116</v>
      </c>
      <c r="E162" s="10">
        <v>74.8</v>
      </c>
      <c r="F162" s="10"/>
      <c r="G162" s="10">
        <v>50.19</v>
      </c>
      <c r="H162" s="10"/>
      <c r="I162" s="10">
        <v>60.03</v>
      </c>
    </row>
    <row r="163" spans="1:9" s="1" customFormat="1" ht="21.75" customHeight="1">
      <c r="A163" s="8" t="s">
        <v>37</v>
      </c>
      <c r="B163" s="8" t="s">
        <v>38</v>
      </c>
      <c r="C163" s="9" t="str">
        <f t="shared" si="2"/>
        <v>230096</v>
      </c>
      <c r="D163" s="9" t="str">
        <f>"230912119"</f>
        <v>230912119</v>
      </c>
      <c r="E163" s="10">
        <v>61.01</v>
      </c>
      <c r="F163" s="10"/>
      <c r="G163" s="10">
        <v>59.35</v>
      </c>
      <c r="H163" s="10"/>
      <c r="I163" s="10">
        <v>60.01</v>
      </c>
    </row>
    <row r="164" spans="1:9" s="1" customFormat="1" ht="21.75" customHeight="1">
      <c r="A164" s="8" t="s">
        <v>37</v>
      </c>
      <c r="B164" s="8" t="s">
        <v>38</v>
      </c>
      <c r="C164" s="9" t="str">
        <f t="shared" si="2"/>
        <v>230096</v>
      </c>
      <c r="D164" s="9" t="str">
        <f>"230911904"</f>
        <v>230911904</v>
      </c>
      <c r="E164" s="10">
        <v>60.21</v>
      </c>
      <c r="F164" s="10"/>
      <c r="G164" s="10">
        <v>59.65</v>
      </c>
      <c r="H164" s="10"/>
      <c r="I164" s="10">
        <v>59.87</v>
      </c>
    </row>
    <row r="165" spans="1:9" ht="21.75" customHeight="1">
      <c r="A165" s="8" t="s">
        <v>37</v>
      </c>
      <c r="B165" s="8" t="s">
        <v>38</v>
      </c>
      <c r="C165" s="9" t="str">
        <f t="shared" si="2"/>
        <v>230096</v>
      </c>
      <c r="D165" s="9" t="str">
        <f>"230911510"</f>
        <v>230911510</v>
      </c>
      <c r="E165" s="10">
        <v>60.67</v>
      </c>
      <c r="F165" s="10"/>
      <c r="G165" s="10">
        <v>59.08</v>
      </c>
      <c r="H165" s="10"/>
      <c r="I165" s="10">
        <v>59.72</v>
      </c>
    </row>
    <row r="166" spans="1:9" s="1" customFormat="1" ht="21.75" customHeight="1">
      <c r="A166" s="8" t="s">
        <v>37</v>
      </c>
      <c r="B166" s="8" t="s">
        <v>38</v>
      </c>
      <c r="C166" s="9" t="str">
        <f t="shared" si="2"/>
        <v>230096</v>
      </c>
      <c r="D166" s="9" t="str">
        <f>"230911916"</f>
        <v>230911916</v>
      </c>
      <c r="E166" s="10">
        <v>64.58</v>
      </c>
      <c r="F166" s="10"/>
      <c r="G166" s="10">
        <v>56.26</v>
      </c>
      <c r="H166" s="10"/>
      <c r="I166" s="10">
        <v>59.59</v>
      </c>
    </row>
    <row r="167" spans="1:9" ht="21.75" customHeight="1">
      <c r="A167" s="8" t="s">
        <v>37</v>
      </c>
      <c r="B167" s="8" t="s">
        <v>38</v>
      </c>
      <c r="C167" s="9" t="str">
        <f t="shared" si="2"/>
        <v>230096</v>
      </c>
      <c r="D167" s="9" t="str">
        <f>"230912302"</f>
        <v>230912302</v>
      </c>
      <c r="E167" s="10">
        <v>66.430000000000007</v>
      </c>
      <c r="F167" s="10"/>
      <c r="G167" s="10">
        <v>54.91</v>
      </c>
      <c r="H167" s="10"/>
      <c r="I167" s="10">
        <v>59.52</v>
      </c>
    </row>
    <row r="168" spans="1:9" ht="21.75" customHeight="1">
      <c r="A168" s="8" t="s">
        <v>37</v>
      </c>
      <c r="B168" s="8" t="s">
        <v>38</v>
      </c>
      <c r="C168" s="9" t="str">
        <f t="shared" si="2"/>
        <v>230096</v>
      </c>
      <c r="D168" s="9" t="str">
        <f>"230911403"</f>
        <v>230911403</v>
      </c>
      <c r="E168" s="10">
        <v>61.8</v>
      </c>
      <c r="F168" s="10"/>
      <c r="G168" s="10">
        <v>57.99</v>
      </c>
      <c r="H168" s="10"/>
      <c r="I168" s="10">
        <v>59.51</v>
      </c>
    </row>
    <row r="169" spans="1:9" ht="21.75" customHeight="1">
      <c r="A169" s="8" t="s">
        <v>37</v>
      </c>
      <c r="B169" s="8" t="s">
        <v>38</v>
      </c>
      <c r="C169" s="9" t="str">
        <f t="shared" si="2"/>
        <v>230096</v>
      </c>
      <c r="D169" s="9" t="str">
        <f>"230911814"</f>
        <v>230911814</v>
      </c>
      <c r="E169" s="10">
        <v>67.8</v>
      </c>
      <c r="F169" s="10"/>
      <c r="G169" s="10">
        <v>53.97</v>
      </c>
      <c r="H169" s="10"/>
      <c r="I169" s="10">
        <v>59.5</v>
      </c>
    </row>
    <row r="170" spans="1:9" s="1" customFormat="1" ht="21.75" customHeight="1">
      <c r="A170" s="8" t="s">
        <v>37</v>
      </c>
      <c r="B170" s="8" t="s">
        <v>38</v>
      </c>
      <c r="C170" s="9" t="str">
        <f t="shared" si="2"/>
        <v>230096</v>
      </c>
      <c r="D170" s="9" t="str">
        <f>"230911924"</f>
        <v>230911924</v>
      </c>
      <c r="E170" s="10">
        <v>77.22</v>
      </c>
      <c r="F170" s="10"/>
      <c r="G170" s="10">
        <v>47.65</v>
      </c>
      <c r="H170" s="10"/>
      <c r="I170" s="10">
        <v>59.48</v>
      </c>
    </row>
    <row r="171" spans="1:9" ht="21.75" customHeight="1">
      <c r="A171" s="8" t="s">
        <v>37</v>
      </c>
      <c r="B171" s="8" t="s">
        <v>38</v>
      </c>
      <c r="C171" s="9" t="str">
        <f t="shared" si="2"/>
        <v>230096</v>
      </c>
      <c r="D171" s="9" t="str">
        <f>"230912303"</f>
        <v>230912303</v>
      </c>
      <c r="E171" s="10">
        <v>57.22</v>
      </c>
      <c r="F171" s="10"/>
      <c r="G171" s="10">
        <v>60.99</v>
      </c>
      <c r="H171" s="10"/>
      <c r="I171" s="10">
        <v>59.48</v>
      </c>
    </row>
    <row r="172" spans="1:9" s="1" customFormat="1" ht="21.75" customHeight="1">
      <c r="A172" s="8" t="s">
        <v>37</v>
      </c>
      <c r="B172" s="8" t="s">
        <v>38</v>
      </c>
      <c r="C172" s="9" t="str">
        <f t="shared" si="2"/>
        <v>230096</v>
      </c>
      <c r="D172" s="9" t="str">
        <f>"230911725"</f>
        <v>230911725</v>
      </c>
      <c r="E172" s="10">
        <v>63.07</v>
      </c>
      <c r="F172" s="10"/>
      <c r="G172" s="10">
        <v>57.06</v>
      </c>
      <c r="H172" s="10"/>
      <c r="I172" s="10">
        <v>59.46</v>
      </c>
    </row>
    <row r="173" spans="1:9" ht="21.75" customHeight="1">
      <c r="A173" s="8" t="s">
        <v>37</v>
      </c>
      <c r="B173" s="8" t="s">
        <v>38</v>
      </c>
      <c r="C173" s="9" t="str">
        <f t="shared" si="2"/>
        <v>230096</v>
      </c>
      <c r="D173" s="9" t="str">
        <f>"230911307"</f>
        <v>230911307</v>
      </c>
      <c r="E173" s="10">
        <v>71.010000000000005</v>
      </c>
      <c r="F173" s="10"/>
      <c r="G173" s="10">
        <v>51.59</v>
      </c>
      <c r="H173" s="10"/>
      <c r="I173" s="10">
        <v>59.36</v>
      </c>
    </row>
    <row r="174" spans="1:9" ht="21.75" customHeight="1">
      <c r="A174" s="8" t="s">
        <v>37</v>
      </c>
      <c r="B174" s="8" t="s">
        <v>38</v>
      </c>
      <c r="C174" s="9" t="str">
        <f t="shared" si="2"/>
        <v>230096</v>
      </c>
      <c r="D174" s="9" t="str">
        <f>"230912118"</f>
        <v>230912118</v>
      </c>
      <c r="E174" s="10">
        <v>67.56</v>
      </c>
      <c r="F174" s="10"/>
      <c r="G174" s="10">
        <v>53.87</v>
      </c>
      <c r="H174" s="10"/>
      <c r="I174" s="10">
        <v>59.35</v>
      </c>
    </row>
    <row r="175" spans="1:9" s="1" customFormat="1" ht="21.75" customHeight="1">
      <c r="A175" s="8" t="s">
        <v>37</v>
      </c>
      <c r="B175" s="8" t="s">
        <v>38</v>
      </c>
      <c r="C175" s="9" t="str">
        <f t="shared" si="2"/>
        <v>230096</v>
      </c>
      <c r="D175" s="9" t="str">
        <f>"230911611"</f>
        <v>230911611</v>
      </c>
      <c r="E175" s="10">
        <v>57.11</v>
      </c>
      <c r="F175" s="10"/>
      <c r="G175" s="10">
        <v>60.83</v>
      </c>
      <c r="H175" s="10"/>
      <c r="I175" s="10">
        <v>59.34</v>
      </c>
    </row>
    <row r="176" spans="1:9" ht="21.75" customHeight="1">
      <c r="A176" s="8" t="s">
        <v>37</v>
      </c>
      <c r="B176" s="8" t="s">
        <v>38</v>
      </c>
      <c r="C176" s="9" t="str">
        <f t="shared" si="2"/>
        <v>230096</v>
      </c>
      <c r="D176" s="9" t="str">
        <f>"230911501"</f>
        <v>230911501</v>
      </c>
      <c r="E176" s="10">
        <v>77.680000000000007</v>
      </c>
      <c r="F176" s="10"/>
      <c r="G176" s="10">
        <v>47.1</v>
      </c>
      <c r="H176" s="10"/>
      <c r="I176" s="10">
        <v>59.33</v>
      </c>
    </row>
    <row r="177" spans="1:9" ht="21.75" customHeight="1">
      <c r="A177" s="8" t="s">
        <v>37</v>
      </c>
      <c r="B177" s="8" t="s">
        <v>38</v>
      </c>
      <c r="C177" s="9" t="str">
        <f t="shared" si="2"/>
        <v>230096</v>
      </c>
      <c r="D177" s="9" t="str">
        <f>"230911707"</f>
        <v>230911707</v>
      </c>
      <c r="E177" s="10">
        <v>69.849999999999994</v>
      </c>
      <c r="F177" s="10"/>
      <c r="G177" s="10">
        <v>52.27</v>
      </c>
      <c r="H177" s="10"/>
      <c r="I177" s="10">
        <v>59.3</v>
      </c>
    </row>
    <row r="178" spans="1:9" s="1" customFormat="1" ht="21.75" customHeight="1">
      <c r="A178" s="8" t="s">
        <v>37</v>
      </c>
      <c r="B178" s="8" t="s">
        <v>38</v>
      </c>
      <c r="C178" s="9" t="str">
        <f t="shared" si="2"/>
        <v>230096</v>
      </c>
      <c r="D178" s="9" t="str">
        <f>"230912028"</f>
        <v>230912028</v>
      </c>
      <c r="E178" s="10">
        <v>58.93</v>
      </c>
      <c r="F178" s="10"/>
      <c r="G178" s="10">
        <v>59.52</v>
      </c>
      <c r="H178" s="10"/>
      <c r="I178" s="10">
        <v>59.28</v>
      </c>
    </row>
    <row r="179" spans="1:9" ht="21.75" customHeight="1">
      <c r="A179" s="8" t="s">
        <v>37</v>
      </c>
      <c r="B179" s="8" t="s">
        <v>38</v>
      </c>
      <c r="C179" s="9" t="str">
        <f t="shared" si="2"/>
        <v>230096</v>
      </c>
      <c r="D179" s="9" t="str">
        <f>"230912029"</f>
        <v>230912029</v>
      </c>
      <c r="E179" s="10">
        <v>70.19</v>
      </c>
      <c r="F179" s="10"/>
      <c r="G179" s="10">
        <v>52</v>
      </c>
      <c r="H179" s="10"/>
      <c r="I179" s="10">
        <v>59.28</v>
      </c>
    </row>
    <row r="180" spans="1:9" ht="21.75" customHeight="1">
      <c r="A180" s="8" t="s">
        <v>37</v>
      </c>
      <c r="B180" s="8" t="s">
        <v>38</v>
      </c>
      <c r="C180" s="9" t="str">
        <f t="shared" si="2"/>
        <v>230096</v>
      </c>
      <c r="D180" s="9" t="str">
        <f>"230912520"</f>
        <v>230912520</v>
      </c>
      <c r="E180" s="10">
        <v>74.44</v>
      </c>
      <c r="F180" s="10"/>
      <c r="G180" s="10">
        <v>49.15</v>
      </c>
      <c r="H180" s="10"/>
      <c r="I180" s="10">
        <v>59.27</v>
      </c>
    </row>
    <row r="181" spans="1:9" ht="21.75" customHeight="1">
      <c r="A181" s="8" t="s">
        <v>37</v>
      </c>
      <c r="B181" s="8" t="s">
        <v>38</v>
      </c>
      <c r="C181" s="9" t="str">
        <f t="shared" si="2"/>
        <v>230096</v>
      </c>
      <c r="D181" s="9" t="str">
        <f>"230912319"</f>
        <v>230912319</v>
      </c>
      <c r="E181" s="10">
        <v>64.569999999999993</v>
      </c>
      <c r="F181" s="10"/>
      <c r="G181" s="10">
        <v>55.59</v>
      </c>
      <c r="H181" s="10"/>
      <c r="I181" s="10">
        <v>59.18</v>
      </c>
    </row>
    <row r="182" spans="1:9" s="1" customFormat="1" ht="21.75" customHeight="1">
      <c r="A182" s="8" t="s">
        <v>37</v>
      </c>
      <c r="B182" s="8" t="s">
        <v>38</v>
      </c>
      <c r="C182" s="9" t="str">
        <f t="shared" si="2"/>
        <v>230096</v>
      </c>
      <c r="D182" s="9" t="str">
        <f>"230912010"</f>
        <v>230912010</v>
      </c>
      <c r="E182" s="10">
        <v>75.150000000000006</v>
      </c>
      <c r="F182" s="10"/>
      <c r="G182" s="10">
        <v>48.51</v>
      </c>
      <c r="H182" s="10"/>
      <c r="I182" s="10">
        <v>59.17</v>
      </c>
    </row>
    <row r="183" spans="1:9" s="1" customFormat="1" ht="21.75" customHeight="1">
      <c r="A183" s="8" t="s">
        <v>37</v>
      </c>
      <c r="B183" s="8" t="s">
        <v>38</v>
      </c>
      <c r="C183" s="9" t="str">
        <f t="shared" si="2"/>
        <v>230096</v>
      </c>
      <c r="D183" s="9" t="str">
        <f>"230911817"</f>
        <v>230911817</v>
      </c>
      <c r="E183" s="10">
        <v>67.09</v>
      </c>
      <c r="F183" s="10"/>
      <c r="G183" s="10">
        <v>53.88</v>
      </c>
      <c r="H183" s="10"/>
      <c r="I183" s="10">
        <v>59.16</v>
      </c>
    </row>
    <row r="184" spans="1:9" s="1" customFormat="1" ht="21.75" customHeight="1">
      <c r="A184" s="8" t="s">
        <v>37</v>
      </c>
      <c r="B184" s="8" t="s">
        <v>38</v>
      </c>
      <c r="C184" s="9" t="str">
        <f t="shared" si="2"/>
        <v>230096</v>
      </c>
      <c r="D184" s="9" t="str">
        <f>"230911603"</f>
        <v>230911603</v>
      </c>
      <c r="E184" s="10">
        <v>69.959999999999994</v>
      </c>
      <c r="F184" s="10"/>
      <c r="G184" s="10">
        <v>51.78</v>
      </c>
      <c r="H184" s="10"/>
      <c r="I184" s="10">
        <v>59.05</v>
      </c>
    </row>
    <row r="185" spans="1:9" s="1" customFormat="1" ht="21.75" customHeight="1">
      <c r="A185" s="8" t="s">
        <v>37</v>
      </c>
      <c r="B185" s="8" t="s">
        <v>38</v>
      </c>
      <c r="C185" s="9" t="str">
        <f t="shared" si="2"/>
        <v>230096</v>
      </c>
      <c r="D185" s="9" t="str">
        <f>"230912016"</f>
        <v>230912016</v>
      </c>
      <c r="E185" s="10">
        <v>69.040000000000006</v>
      </c>
      <c r="F185" s="10"/>
      <c r="G185" s="10">
        <v>52.39</v>
      </c>
      <c r="H185" s="10"/>
      <c r="I185" s="10">
        <v>59.05</v>
      </c>
    </row>
    <row r="186" spans="1:9" ht="21.75" customHeight="1">
      <c r="A186" s="8" t="s">
        <v>37</v>
      </c>
      <c r="B186" s="8" t="s">
        <v>38</v>
      </c>
      <c r="C186" s="9" t="str">
        <f t="shared" si="2"/>
        <v>230096</v>
      </c>
      <c r="D186" s="9" t="str">
        <f>"230912421"</f>
        <v>230912421</v>
      </c>
      <c r="E186" s="10">
        <v>74.45</v>
      </c>
      <c r="F186" s="10"/>
      <c r="G186" s="10">
        <v>48.7</v>
      </c>
      <c r="H186" s="10"/>
      <c r="I186" s="10">
        <v>59</v>
      </c>
    </row>
    <row r="187" spans="1:9" ht="21.75" customHeight="1">
      <c r="A187" s="8" t="s">
        <v>37</v>
      </c>
      <c r="B187" s="8" t="s">
        <v>38</v>
      </c>
      <c r="C187" s="9" t="str">
        <f t="shared" si="2"/>
        <v>230096</v>
      </c>
      <c r="D187" s="9" t="str">
        <f>"230911311"</f>
        <v>230911311</v>
      </c>
      <c r="E187" s="10">
        <v>65.349999999999994</v>
      </c>
      <c r="F187" s="10"/>
      <c r="G187" s="10">
        <v>54.64</v>
      </c>
      <c r="H187" s="10"/>
      <c r="I187" s="10">
        <v>58.92</v>
      </c>
    </row>
    <row r="188" spans="1:9" s="1" customFormat="1" ht="21.75" customHeight="1">
      <c r="A188" s="8" t="s">
        <v>37</v>
      </c>
      <c r="B188" s="8" t="s">
        <v>38</v>
      </c>
      <c r="C188" s="9" t="str">
        <f t="shared" si="2"/>
        <v>230096</v>
      </c>
      <c r="D188" s="9" t="str">
        <f>"230911630"</f>
        <v>230911630</v>
      </c>
      <c r="E188" s="10">
        <v>67.91</v>
      </c>
      <c r="F188" s="10"/>
      <c r="G188" s="10">
        <v>52.89</v>
      </c>
      <c r="H188" s="10"/>
      <c r="I188" s="10">
        <v>58.9</v>
      </c>
    </row>
    <row r="189" spans="1:9" ht="21.75" customHeight="1">
      <c r="A189" s="8" t="s">
        <v>37</v>
      </c>
      <c r="B189" s="8" t="s">
        <v>38</v>
      </c>
      <c r="C189" s="9" t="str">
        <f t="shared" si="2"/>
        <v>230096</v>
      </c>
      <c r="D189" s="9" t="str">
        <f>"230911830"</f>
        <v>230911830</v>
      </c>
      <c r="E189" s="10">
        <v>63.43</v>
      </c>
      <c r="F189" s="10"/>
      <c r="G189" s="10">
        <v>55.68</v>
      </c>
      <c r="H189" s="10"/>
      <c r="I189" s="10">
        <v>58.78</v>
      </c>
    </row>
    <row r="190" spans="1:9" s="1" customFormat="1" ht="21.75" customHeight="1">
      <c r="A190" s="8" t="s">
        <v>37</v>
      </c>
      <c r="B190" s="8" t="s">
        <v>38</v>
      </c>
      <c r="C190" s="9" t="str">
        <f t="shared" si="2"/>
        <v>230096</v>
      </c>
      <c r="D190" s="9" t="str">
        <f>"230911422"</f>
        <v>230911422</v>
      </c>
      <c r="E190" s="10">
        <v>60.3</v>
      </c>
      <c r="F190" s="10"/>
      <c r="G190" s="10">
        <v>57.74</v>
      </c>
      <c r="H190" s="10"/>
      <c r="I190" s="10">
        <v>58.76</v>
      </c>
    </row>
    <row r="191" spans="1:9" ht="21.75" customHeight="1">
      <c r="A191" s="8" t="s">
        <v>37</v>
      </c>
      <c r="B191" s="8" t="s">
        <v>38</v>
      </c>
      <c r="C191" s="9" t="str">
        <f t="shared" si="2"/>
        <v>230096</v>
      </c>
      <c r="D191" s="9" t="str">
        <f>"230912416"</f>
        <v>230912416</v>
      </c>
      <c r="E191" s="10">
        <v>72.97</v>
      </c>
      <c r="F191" s="10"/>
      <c r="G191" s="10">
        <v>49.05</v>
      </c>
      <c r="H191" s="10"/>
      <c r="I191" s="10">
        <v>58.62</v>
      </c>
    </row>
    <row r="192" spans="1:9" ht="21.75" customHeight="1">
      <c r="A192" s="8" t="s">
        <v>37</v>
      </c>
      <c r="B192" s="8" t="s">
        <v>38</v>
      </c>
      <c r="C192" s="9" t="str">
        <f t="shared" si="2"/>
        <v>230096</v>
      </c>
      <c r="D192" s="9" t="str">
        <f>"230911408"</f>
        <v>230911408</v>
      </c>
      <c r="E192" s="10">
        <v>65.489999999999995</v>
      </c>
      <c r="F192" s="10"/>
      <c r="G192" s="10">
        <v>53.92</v>
      </c>
      <c r="H192" s="10"/>
      <c r="I192" s="10">
        <v>58.55</v>
      </c>
    </row>
    <row r="193" spans="1:9" ht="21.75" customHeight="1">
      <c r="A193" s="8" t="s">
        <v>37</v>
      </c>
      <c r="B193" s="8" t="s">
        <v>38</v>
      </c>
      <c r="C193" s="9" t="str">
        <f t="shared" si="2"/>
        <v>230096</v>
      </c>
      <c r="D193" s="9" t="str">
        <f>"230912402"</f>
        <v>230912402</v>
      </c>
      <c r="E193" s="10">
        <v>66.06</v>
      </c>
      <c r="F193" s="10"/>
      <c r="G193" s="10">
        <v>53.13</v>
      </c>
      <c r="H193" s="10"/>
      <c r="I193" s="10">
        <v>58.3</v>
      </c>
    </row>
    <row r="194" spans="1:9" s="1" customFormat="1" ht="21.75" customHeight="1">
      <c r="A194" s="8" t="s">
        <v>37</v>
      </c>
      <c r="B194" s="8" t="s">
        <v>38</v>
      </c>
      <c r="C194" s="9" t="str">
        <f t="shared" si="2"/>
        <v>230096</v>
      </c>
      <c r="D194" s="9" t="str">
        <f>"230912424"</f>
        <v>230912424</v>
      </c>
      <c r="E194" s="10">
        <v>63.88</v>
      </c>
      <c r="F194" s="10"/>
      <c r="G194" s="10">
        <v>54.42</v>
      </c>
      <c r="H194" s="10"/>
      <c r="I194" s="10">
        <v>58.2</v>
      </c>
    </row>
    <row r="195" spans="1:9" s="1" customFormat="1" ht="21.75" customHeight="1">
      <c r="A195" s="8" t="s">
        <v>37</v>
      </c>
      <c r="B195" s="8" t="s">
        <v>38</v>
      </c>
      <c r="C195" s="9" t="str">
        <f t="shared" ref="C195:C258" si="3">"230096"</f>
        <v>230096</v>
      </c>
      <c r="D195" s="9" t="str">
        <f>"230911722"</f>
        <v>230911722</v>
      </c>
      <c r="E195" s="10">
        <v>59.51</v>
      </c>
      <c r="F195" s="10"/>
      <c r="G195" s="10">
        <v>57.12</v>
      </c>
      <c r="H195" s="10"/>
      <c r="I195" s="10">
        <v>58.08</v>
      </c>
    </row>
    <row r="196" spans="1:9" ht="21.75" customHeight="1">
      <c r="A196" s="8" t="s">
        <v>37</v>
      </c>
      <c r="B196" s="8" t="s">
        <v>38</v>
      </c>
      <c r="C196" s="9" t="str">
        <f t="shared" si="3"/>
        <v>230096</v>
      </c>
      <c r="D196" s="9" t="str">
        <f>"230912018"</f>
        <v>230912018</v>
      </c>
      <c r="E196" s="10">
        <v>64.930000000000007</v>
      </c>
      <c r="F196" s="10"/>
      <c r="G196" s="10">
        <v>53.47</v>
      </c>
      <c r="H196" s="10"/>
      <c r="I196" s="10">
        <v>58.05</v>
      </c>
    </row>
    <row r="197" spans="1:9" s="1" customFormat="1" ht="21.75" customHeight="1">
      <c r="A197" s="8" t="s">
        <v>37</v>
      </c>
      <c r="B197" s="8" t="s">
        <v>38</v>
      </c>
      <c r="C197" s="9" t="str">
        <f t="shared" si="3"/>
        <v>230096</v>
      </c>
      <c r="D197" s="9" t="str">
        <f>"230912507"</f>
        <v>230912507</v>
      </c>
      <c r="E197" s="10">
        <v>66.989999999999995</v>
      </c>
      <c r="F197" s="10"/>
      <c r="G197" s="10">
        <v>51.86</v>
      </c>
      <c r="H197" s="10"/>
      <c r="I197" s="10">
        <v>57.91</v>
      </c>
    </row>
    <row r="198" spans="1:9" s="1" customFormat="1" ht="21.75" customHeight="1">
      <c r="A198" s="8" t="s">
        <v>37</v>
      </c>
      <c r="B198" s="8" t="s">
        <v>38</v>
      </c>
      <c r="C198" s="9" t="str">
        <f t="shared" si="3"/>
        <v>230096</v>
      </c>
      <c r="D198" s="9" t="str">
        <f>"230911319"</f>
        <v>230911319</v>
      </c>
      <c r="E198" s="10">
        <v>66.39</v>
      </c>
      <c r="F198" s="10"/>
      <c r="G198" s="10">
        <v>52.08</v>
      </c>
      <c r="H198" s="10"/>
      <c r="I198" s="10">
        <v>57.8</v>
      </c>
    </row>
    <row r="199" spans="1:9" ht="21.75" customHeight="1">
      <c r="A199" s="8" t="s">
        <v>37</v>
      </c>
      <c r="B199" s="8" t="s">
        <v>38</v>
      </c>
      <c r="C199" s="9" t="str">
        <f t="shared" si="3"/>
        <v>230096</v>
      </c>
      <c r="D199" s="9" t="str">
        <f>"230912321"</f>
        <v>230912321</v>
      </c>
      <c r="E199" s="10">
        <v>57.34</v>
      </c>
      <c r="F199" s="10"/>
      <c r="G199" s="10">
        <v>58.06</v>
      </c>
      <c r="H199" s="10"/>
      <c r="I199" s="10">
        <v>57.77</v>
      </c>
    </row>
    <row r="200" spans="1:9" ht="21.75" customHeight="1">
      <c r="A200" s="8" t="s">
        <v>37</v>
      </c>
      <c r="B200" s="8" t="s">
        <v>38</v>
      </c>
      <c r="C200" s="9" t="str">
        <f t="shared" si="3"/>
        <v>230096</v>
      </c>
      <c r="D200" s="9" t="str">
        <f>"230911809"</f>
        <v>230911809</v>
      </c>
      <c r="E200" s="10">
        <v>60.53</v>
      </c>
      <c r="F200" s="10"/>
      <c r="G200" s="10">
        <v>55.71</v>
      </c>
      <c r="H200" s="10"/>
      <c r="I200" s="10">
        <v>57.64</v>
      </c>
    </row>
    <row r="201" spans="1:9" ht="21.75" customHeight="1">
      <c r="A201" s="8" t="s">
        <v>37</v>
      </c>
      <c r="B201" s="8" t="s">
        <v>38</v>
      </c>
      <c r="C201" s="9" t="str">
        <f t="shared" si="3"/>
        <v>230096</v>
      </c>
      <c r="D201" s="9" t="str">
        <f>"230911320"</f>
        <v>230911320</v>
      </c>
      <c r="E201" s="10">
        <v>62.03</v>
      </c>
      <c r="F201" s="10"/>
      <c r="G201" s="10">
        <v>54.68</v>
      </c>
      <c r="H201" s="10"/>
      <c r="I201" s="10">
        <v>57.62</v>
      </c>
    </row>
    <row r="202" spans="1:9" ht="21.75" customHeight="1">
      <c r="A202" s="8" t="s">
        <v>37</v>
      </c>
      <c r="B202" s="8" t="s">
        <v>38</v>
      </c>
      <c r="C202" s="9" t="str">
        <f t="shared" si="3"/>
        <v>230096</v>
      </c>
      <c r="D202" s="9" t="str">
        <f>"230912201"</f>
        <v>230912201</v>
      </c>
      <c r="E202" s="10">
        <v>65.14</v>
      </c>
      <c r="F202" s="10"/>
      <c r="G202" s="10">
        <v>52.56</v>
      </c>
      <c r="H202" s="10"/>
      <c r="I202" s="10">
        <v>57.59</v>
      </c>
    </row>
    <row r="203" spans="1:9" ht="21.75" customHeight="1">
      <c r="A203" s="8" t="s">
        <v>37</v>
      </c>
      <c r="B203" s="8" t="s">
        <v>38</v>
      </c>
      <c r="C203" s="9" t="str">
        <f t="shared" si="3"/>
        <v>230096</v>
      </c>
      <c r="D203" s="9" t="str">
        <f>"230912207"</f>
        <v>230912207</v>
      </c>
      <c r="E203" s="10">
        <v>62.61</v>
      </c>
      <c r="F203" s="10"/>
      <c r="G203" s="10">
        <v>54.17</v>
      </c>
      <c r="H203" s="10"/>
      <c r="I203" s="10">
        <v>57.55</v>
      </c>
    </row>
    <row r="204" spans="1:9" ht="21.75" customHeight="1">
      <c r="A204" s="8" t="s">
        <v>37</v>
      </c>
      <c r="B204" s="8" t="s">
        <v>38</v>
      </c>
      <c r="C204" s="9" t="str">
        <f t="shared" si="3"/>
        <v>230096</v>
      </c>
      <c r="D204" s="9" t="str">
        <f>"230911417"</f>
        <v>230911417</v>
      </c>
      <c r="E204" s="10">
        <v>57.9</v>
      </c>
      <c r="F204" s="10"/>
      <c r="G204" s="10">
        <v>57.29</v>
      </c>
      <c r="H204" s="10"/>
      <c r="I204" s="10">
        <v>57.53</v>
      </c>
    </row>
    <row r="205" spans="1:9" ht="21.75" customHeight="1">
      <c r="A205" s="8" t="s">
        <v>37</v>
      </c>
      <c r="B205" s="8" t="s">
        <v>38</v>
      </c>
      <c r="C205" s="9" t="str">
        <f t="shared" si="3"/>
        <v>230096</v>
      </c>
      <c r="D205" s="9" t="str">
        <f>"230912414"</f>
        <v>230912414</v>
      </c>
      <c r="E205" s="10">
        <v>59.86</v>
      </c>
      <c r="F205" s="10"/>
      <c r="G205" s="10">
        <v>55.98</v>
      </c>
      <c r="H205" s="10"/>
      <c r="I205" s="10">
        <v>57.53</v>
      </c>
    </row>
    <row r="206" spans="1:9" ht="21.75" customHeight="1">
      <c r="A206" s="8" t="s">
        <v>37</v>
      </c>
      <c r="B206" s="8" t="s">
        <v>38</v>
      </c>
      <c r="C206" s="9" t="str">
        <f t="shared" si="3"/>
        <v>230096</v>
      </c>
      <c r="D206" s="9" t="str">
        <f>"230912203"</f>
        <v>230912203</v>
      </c>
      <c r="E206" s="10">
        <v>70.09</v>
      </c>
      <c r="F206" s="10"/>
      <c r="G206" s="10">
        <v>49.13</v>
      </c>
      <c r="H206" s="10"/>
      <c r="I206" s="10">
        <v>57.51</v>
      </c>
    </row>
    <row r="207" spans="1:9" ht="21.75" customHeight="1">
      <c r="A207" s="8" t="s">
        <v>37</v>
      </c>
      <c r="B207" s="8" t="s">
        <v>38</v>
      </c>
      <c r="C207" s="9" t="str">
        <f t="shared" si="3"/>
        <v>230096</v>
      </c>
      <c r="D207" s="9" t="str">
        <f>"230911406"</f>
        <v>230911406</v>
      </c>
      <c r="E207" s="10">
        <v>54.45</v>
      </c>
      <c r="F207" s="10"/>
      <c r="G207" s="10">
        <v>59.45</v>
      </c>
      <c r="H207" s="10"/>
      <c r="I207" s="10">
        <v>57.45</v>
      </c>
    </row>
    <row r="208" spans="1:9" s="1" customFormat="1" ht="21.75" customHeight="1">
      <c r="A208" s="8" t="s">
        <v>37</v>
      </c>
      <c r="B208" s="8" t="s">
        <v>38</v>
      </c>
      <c r="C208" s="9" t="str">
        <f t="shared" si="3"/>
        <v>230096</v>
      </c>
      <c r="D208" s="9" t="str">
        <f>"230912115"</f>
        <v>230912115</v>
      </c>
      <c r="E208" s="10">
        <v>61.11</v>
      </c>
      <c r="F208" s="10"/>
      <c r="G208" s="10">
        <v>54.72</v>
      </c>
      <c r="H208" s="10"/>
      <c r="I208" s="10">
        <v>57.28</v>
      </c>
    </row>
    <row r="209" spans="1:9" ht="21.75" customHeight="1">
      <c r="A209" s="8" t="s">
        <v>37</v>
      </c>
      <c r="B209" s="8" t="s">
        <v>38</v>
      </c>
      <c r="C209" s="9" t="str">
        <f t="shared" si="3"/>
        <v>230096</v>
      </c>
      <c r="D209" s="9" t="str">
        <f>"230911506"</f>
        <v>230911506</v>
      </c>
      <c r="E209" s="10">
        <v>67.2</v>
      </c>
      <c r="F209" s="10"/>
      <c r="G209" s="10">
        <v>50.61</v>
      </c>
      <c r="H209" s="10"/>
      <c r="I209" s="10">
        <v>57.25</v>
      </c>
    </row>
    <row r="210" spans="1:9" ht="21.75" customHeight="1">
      <c r="A210" s="8" t="s">
        <v>37</v>
      </c>
      <c r="B210" s="8" t="s">
        <v>38</v>
      </c>
      <c r="C210" s="9" t="str">
        <f t="shared" si="3"/>
        <v>230096</v>
      </c>
      <c r="D210" s="9" t="str">
        <f>"230911411"</f>
        <v>230911411</v>
      </c>
      <c r="E210" s="10">
        <v>70.55</v>
      </c>
      <c r="F210" s="10"/>
      <c r="G210" s="10">
        <v>48.13</v>
      </c>
      <c r="H210" s="10"/>
      <c r="I210" s="10">
        <v>57.1</v>
      </c>
    </row>
    <row r="211" spans="1:9" ht="21.75" customHeight="1">
      <c r="A211" s="8" t="s">
        <v>37</v>
      </c>
      <c r="B211" s="8" t="s">
        <v>38</v>
      </c>
      <c r="C211" s="9" t="str">
        <f t="shared" si="3"/>
        <v>230096</v>
      </c>
      <c r="D211" s="9" t="str">
        <f>"230911322"</f>
        <v>230911322</v>
      </c>
      <c r="E211" s="10">
        <v>59.96</v>
      </c>
      <c r="F211" s="10"/>
      <c r="G211" s="10">
        <v>55.09</v>
      </c>
      <c r="H211" s="10"/>
      <c r="I211" s="10">
        <v>57.04</v>
      </c>
    </row>
    <row r="212" spans="1:9" ht="21.75" customHeight="1">
      <c r="A212" s="8" t="s">
        <v>37</v>
      </c>
      <c r="B212" s="8" t="s">
        <v>38</v>
      </c>
      <c r="C212" s="9" t="str">
        <f t="shared" si="3"/>
        <v>230096</v>
      </c>
      <c r="D212" s="9" t="str">
        <f>"230912101"</f>
        <v>230912101</v>
      </c>
      <c r="E212" s="10">
        <v>68.83</v>
      </c>
      <c r="F212" s="10"/>
      <c r="G212" s="10">
        <v>49.13</v>
      </c>
      <c r="H212" s="10"/>
      <c r="I212" s="10">
        <v>57.01</v>
      </c>
    </row>
    <row r="213" spans="1:9" ht="21.75" customHeight="1">
      <c r="A213" s="8" t="s">
        <v>37</v>
      </c>
      <c r="B213" s="8" t="s">
        <v>38</v>
      </c>
      <c r="C213" s="9" t="str">
        <f t="shared" si="3"/>
        <v>230096</v>
      </c>
      <c r="D213" s="9" t="str">
        <f>"230911727"</f>
        <v>230911727</v>
      </c>
      <c r="E213" s="10">
        <v>74.23</v>
      </c>
      <c r="F213" s="10"/>
      <c r="G213" s="10">
        <v>45.26</v>
      </c>
      <c r="H213" s="10"/>
      <c r="I213" s="10">
        <v>56.85</v>
      </c>
    </row>
    <row r="214" spans="1:9" ht="21.75" customHeight="1">
      <c r="A214" s="8" t="s">
        <v>37</v>
      </c>
      <c r="B214" s="8" t="s">
        <v>38</v>
      </c>
      <c r="C214" s="9" t="str">
        <f t="shared" si="3"/>
        <v>230096</v>
      </c>
      <c r="D214" s="9" t="str">
        <f>"230911806"</f>
        <v>230911806</v>
      </c>
      <c r="E214" s="10">
        <v>67.78</v>
      </c>
      <c r="F214" s="10"/>
      <c r="G214" s="10">
        <v>48.74</v>
      </c>
      <c r="H214" s="10"/>
      <c r="I214" s="10">
        <v>56.36</v>
      </c>
    </row>
    <row r="215" spans="1:9" ht="21.75" customHeight="1">
      <c r="A215" s="8" t="s">
        <v>37</v>
      </c>
      <c r="B215" s="8" t="s">
        <v>38</v>
      </c>
      <c r="C215" s="9" t="str">
        <f t="shared" si="3"/>
        <v>230096</v>
      </c>
      <c r="D215" s="9" t="str">
        <f>"230912109"</f>
        <v>230912109</v>
      </c>
      <c r="E215" s="10">
        <v>59.62</v>
      </c>
      <c r="F215" s="10"/>
      <c r="G215" s="10">
        <v>54.1</v>
      </c>
      <c r="H215" s="10"/>
      <c r="I215" s="10">
        <v>56.31</v>
      </c>
    </row>
    <row r="216" spans="1:9" s="1" customFormat="1" ht="21.75" customHeight="1">
      <c r="A216" s="8" t="s">
        <v>37</v>
      </c>
      <c r="B216" s="8" t="s">
        <v>38</v>
      </c>
      <c r="C216" s="9" t="str">
        <f t="shared" si="3"/>
        <v>230096</v>
      </c>
      <c r="D216" s="9" t="str">
        <f>"230911528"</f>
        <v>230911528</v>
      </c>
      <c r="E216" s="10">
        <v>61.11</v>
      </c>
      <c r="F216" s="10"/>
      <c r="G216" s="10">
        <v>52.78</v>
      </c>
      <c r="H216" s="10"/>
      <c r="I216" s="10">
        <v>56.11</v>
      </c>
    </row>
    <row r="217" spans="1:9" ht="21.75" customHeight="1">
      <c r="A217" s="8" t="s">
        <v>37</v>
      </c>
      <c r="B217" s="8" t="s">
        <v>38</v>
      </c>
      <c r="C217" s="9" t="str">
        <f t="shared" si="3"/>
        <v>230096</v>
      </c>
      <c r="D217" s="9" t="str">
        <f>"230911608"</f>
        <v>230911608</v>
      </c>
      <c r="E217" s="10">
        <v>65.36</v>
      </c>
      <c r="F217" s="10"/>
      <c r="G217" s="10">
        <v>49.93</v>
      </c>
      <c r="H217" s="10"/>
      <c r="I217" s="10">
        <v>56.1</v>
      </c>
    </row>
    <row r="218" spans="1:9" ht="21.75" customHeight="1">
      <c r="A218" s="8" t="s">
        <v>37</v>
      </c>
      <c r="B218" s="8" t="s">
        <v>38</v>
      </c>
      <c r="C218" s="9" t="str">
        <f t="shared" si="3"/>
        <v>230096</v>
      </c>
      <c r="D218" s="9" t="str">
        <f>"230911328"</f>
        <v>230911328</v>
      </c>
      <c r="E218" s="10">
        <v>49.97</v>
      </c>
      <c r="F218" s="10"/>
      <c r="G218" s="10">
        <v>60.14</v>
      </c>
      <c r="H218" s="10"/>
      <c r="I218" s="10">
        <v>56.07</v>
      </c>
    </row>
    <row r="219" spans="1:9" ht="21.75" customHeight="1">
      <c r="A219" s="8" t="s">
        <v>37</v>
      </c>
      <c r="B219" s="8" t="s">
        <v>38</v>
      </c>
      <c r="C219" s="9" t="str">
        <f t="shared" si="3"/>
        <v>230096</v>
      </c>
      <c r="D219" s="9" t="str">
        <f>"230912503"</f>
        <v>230912503</v>
      </c>
      <c r="E219" s="10">
        <v>69.06</v>
      </c>
      <c r="F219" s="10"/>
      <c r="G219" s="10">
        <v>47.02</v>
      </c>
      <c r="H219" s="10"/>
      <c r="I219" s="10">
        <v>55.84</v>
      </c>
    </row>
    <row r="220" spans="1:9" ht="21.75" customHeight="1">
      <c r="A220" s="8" t="s">
        <v>37</v>
      </c>
      <c r="B220" s="8" t="s">
        <v>38</v>
      </c>
      <c r="C220" s="9" t="str">
        <f t="shared" si="3"/>
        <v>230096</v>
      </c>
      <c r="D220" s="9" t="str">
        <f>"230911708"</f>
        <v>230911708</v>
      </c>
      <c r="E220" s="10">
        <v>63.66</v>
      </c>
      <c r="F220" s="10"/>
      <c r="G220" s="10">
        <v>50.33</v>
      </c>
      <c r="H220" s="10"/>
      <c r="I220" s="10">
        <v>55.66</v>
      </c>
    </row>
    <row r="221" spans="1:9" s="1" customFormat="1" ht="21.75" customHeight="1">
      <c r="A221" s="8" t="s">
        <v>37</v>
      </c>
      <c r="B221" s="8" t="s">
        <v>38</v>
      </c>
      <c r="C221" s="9" t="str">
        <f t="shared" si="3"/>
        <v>230096</v>
      </c>
      <c r="D221" s="9" t="str">
        <f>"230912513"</f>
        <v>230912513</v>
      </c>
      <c r="E221" s="10">
        <v>75.38</v>
      </c>
      <c r="F221" s="10"/>
      <c r="G221" s="10">
        <v>42.45</v>
      </c>
      <c r="H221" s="10"/>
      <c r="I221" s="10">
        <v>55.62</v>
      </c>
    </row>
    <row r="222" spans="1:9" ht="21.75" customHeight="1">
      <c r="A222" s="8" t="s">
        <v>37</v>
      </c>
      <c r="B222" s="8" t="s">
        <v>38</v>
      </c>
      <c r="C222" s="9" t="str">
        <f t="shared" si="3"/>
        <v>230096</v>
      </c>
      <c r="D222" s="9" t="str">
        <f>"230911414"</f>
        <v>230911414</v>
      </c>
      <c r="E222" s="10">
        <v>66.05</v>
      </c>
      <c r="F222" s="10"/>
      <c r="G222" s="10">
        <v>48.28</v>
      </c>
      <c r="H222" s="10"/>
      <c r="I222" s="10">
        <v>55.39</v>
      </c>
    </row>
    <row r="223" spans="1:9" ht="21.75" customHeight="1">
      <c r="A223" s="8" t="s">
        <v>37</v>
      </c>
      <c r="B223" s="8" t="s">
        <v>38</v>
      </c>
      <c r="C223" s="9" t="str">
        <f t="shared" si="3"/>
        <v>230096</v>
      </c>
      <c r="D223" s="9" t="str">
        <f>"230911910"</f>
        <v>230911910</v>
      </c>
      <c r="E223" s="10">
        <v>57.47</v>
      </c>
      <c r="F223" s="10"/>
      <c r="G223" s="10">
        <v>53.76</v>
      </c>
      <c r="H223" s="10"/>
      <c r="I223" s="10">
        <v>55.24</v>
      </c>
    </row>
    <row r="224" spans="1:9" s="1" customFormat="1" ht="21.75" customHeight="1">
      <c r="A224" s="8" t="s">
        <v>37</v>
      </c>
      <c r="B224" s="8" t="s">
        <v>38</v>
      </c>
      <c r="C224" s="9" t="str">
        <f t="shared" si="3"/>
        <v>230096</v>
      </c>
      <c r="D224" s="9" t="str">
        <f>"230912427"</f>
        <v>230912427</v>
      </c>
      <c r="E224" s="10">
        <v>57.67</v>
      </c>
      <c r="F224" s="10"/>
      <c r="G224" s="10">
        <v>53.5</v>
      </c>
      <c r="H224" s="10"/>
      <c r="I224" s="10">
        <v>55.17</v>
      </c>
    </row>
    <row r="225" spans="1:9" ht="21.75" customHeight="1">
      <c r="A225" s="8" t="s">
        <v>37</v>
      </c>
      <c r="B225" s="8" t="s">
        <v>38</v>
      </c>
      <c r="C225" s="9" t="str">
        <f t="shared" si="3"/>
        <v>230096</v>
      </c>
      <c r="D225" s="9" t="str">
        <f>"230911807"</f>
        <v>230911807</v>
      </c>
      <c r="E225" s="10">
        <v>76.3</v>
      </c>
      <c r="F225" s="10"/>
      <c r="G225" s="10">
        <v>41.07</v>
      </c>
      <c r="H225" s="10"/>
      <c r="I225" s="10">
        <v>55.16</v>
      </c>
    </row>
    <row r="226" spans="1:9" ht="21.75" customHeight="1">
      <c r="A226" s="8" t="s">
        <v>37</v>
      </c>
      <c r="B226" s="8" t="s">
        <v>38</v>
      </c>
      <c r="C226" s="9" t="str">
        <f t="shared" si="3"/>
        <v>230096</v>
      </c>
      <c r="D226" s="9" t="str">
        <f>"230911920"</f>
        <v>230911920</v>
      </c>
      <c r="E226" s="10">
        <v>62.04</v>
      </c>
      <c r="F226" s="10"/>
      <c r="G226" s="10">
        <v>50.47</v>
      </c>
      <c r="H226" s="10"/>
      <c r="I226" s="10">
        <v>55.1</v>
      </c>
    </row>
    <row r="227" spans="1:9" ht="21.75" customHeight="1">
      <c r="A227" s="8" t="s">
        <v>37</v>
      </c>
      <c r="B227" s="8" t="s">
        <v>38</v>
      </c>
      <c r="C227" s="9" t="str">
        <f t="shared" si="3"/>
        <v>230096</v>
      </c>
      <c r="D227" s="9" t="str">
        <f>"230912420"</f>
        <v>230912420</v>
      </c>
      <c r="E227" s="10">
        <v>70.67</v>
      </c>
      <c r="F227" s="10"/>
      <c r="G227" s="10">
        <v>44.4</v>
      </c>
      <c r="H227" s="10"/>
      <c r="I227" s="10">
        <v>54.91</v>
      </c>
    </row>
    <row r="228" spans="1:9" ht="21.75" customHeight="1">
      <c r="A228" s="8" t="s">
        <v>37</v>
      </c>
      <c r="B228" s="8" t="s">
        <v>38</v>
      </c>
      <c r="C228" s="9" t="str">
        <f t="shared" si="3"/>
        <v>230096</v>
      </c>
      <c r="D228" s="9" t="str">
        <f>"230912130"</f>
        <v>230912130</v>
      </c>
      <c r="E228" s="10">
        <v>64.56</v>
      </c>
      <c r="F228" s="10"/>
      <c r="G228" s="10">
        <v>48.44</v>
      </c>
      <c r="H228" s="10"/>
      <c r="I228" s="10">
        <v>54.89</v>
      </c>
    </row>
    <row r="229" spans="1:9" ht="21.75" customHeight="1">
      <c r="A229" s="8" t="s">
        <v>37</v>
      </c>
      <c r="B229" s="8" t="s">
        <v>38</v>
      </c>
      <c r="C229" s="9" t="str">
        <f t="shared" si="3"/>
        <v>230096</v>
      </c>
      <c r="D229" s="9" t="str">
        <f>"230912425"</f>
        <v>230912425</v>
      </c>
      <c r="E229" s="10">
        <v>68.25</v>
      </c>
      <c r="F229" s="10"/>
      <c r="G229" s="10">
        <v>45.95</v>
      </c>
      <c r="H229" s="10"/>
      <c r="I229" s="10">
        <v>54.87</v>
      </c>
    </row>
    <row r="230" spans="1:9" ht="21.75" customHeight="1">
      <c r="A230" s="8" t="s">
        <v>37</v>
      </c>
      <c r="B230" s="8" t="s">
        <v>38</v>
      </c>
      <c r="C230" s="9" t="str">
        <f t="shared" si="3"/>
        <v>230096</v>
      </c>
      <c r="D230" s="9" t="str">
        <f>"230912410"</f>
        <v>230912410</v>
      </c>
      <c r="E230" s="10">
        <v>64.23</v>
      </c>
      <c r="F230" s="10"/>
      <c r="G230" s="10">
        <v>48.59</v>
      </c>
      <c r="H230" s="10"/>
      <c r="I230" s="10">
        <v>54.85</v>
      </c>
    </row>
    <row r="231" spans="1:9" ht="21.75" customHeight="1">
      <c r="A231" s="8" t="s">
        <v>37</v>
      </c>
      <c r="B231" s="8" t="s">
        <v>38</v>
      </c>
      <c r="C231" s="9" t="str">
        <f t="shared" si="3"/>
        <v>230096</v>
      </c>
      <c r="D231" s="9" t="str">
        <f>"230911526"</f>
        <v>230911526</v>
      </c>
      <c r="E231" s="10">
        <v>58.71</v>
      </c>
      <c r="F231" s="10"/>
      <c r="G231" s="10">
        <v>52.12</v>
      </c>
      <c r="H231" s="10"/>
      <c r="I231" s="10">
        <v>54.76</v>
      </c>
    </row>
    <row r="232" spans="1:9" ht="21.75" customHeight="1">
      <c r="A232" s="8" t="s">
        <v>37</v>
      </c>
      <c r="B232" s="8" t="s">
        <v>38</v>
      </c>
      <c r="C232" s="9" t="str">
        <f t="shared" si="3"/>
        <v>230096</v>
      </c>
      <c r="D232" s="9" t="str">
        <f>"230911315"</f>
        <v>230911315</v>
      </c>
      <c r="E232" s="10">
        <v>54.8</v>
      </c>
      <c r="F232" s="10"/>
      <c r="G232" s="10">
        <v>54.61</v>
      </c>
      <c r="H232" s="10"/>
      <c r="I232" s="10">
        <v>54.69</v>
      </c>
    </row>
    <row r="233" spans="1:9" ht="21.75" customHeight="1">
      <c r="A233" s="8" t="s">
        <v>37</v>
      </c>
      <c r="B233" s="8" t="s">
        <v>38</v>
      </c>
      <c r="C233" s="9" t="str">
        <f t="shared" si="3"/>
        <v>230096</v>
      </c>
      <c r="D233" s="9" t="str">
        <f>"230911811"</f>
        <v>230911811</v>
      </c>
      <c r="E233" s="10">
        <v>70.56</v>
      </c>
      <c r="F233" s="10"/>
      <c r="G233" s="10">
        <v>43.73</v>
      </c>
      <c r="H233" s="10"/>
      <c r="I233" s="10">
        <v>54.46</v>
      </c>
    </row>
    <row r="234" spans="1:9" ht="21.75" customHeight="1">
      <c r="A234" s="8" t="s">
        <v>37</v>
      </c>
      <c r="B234" s="8" t="s">
        <v>38</v>
      </c>
      <c r="C234" s="9" t="str">
        <f t="shared" si="3"/>
        <v>230096</v>
      </c>
      <c r="D234" s="9" t="str">
        <f>"230911421"</f>
        <v>230911421</v>
      </c>
      <c r="E234" s="10">
        <v>65.72</v>
      </c>
      <c r="F234" s="10"/>
      <c r="G234" s="10">
        <v>46.91</v>
      </c>
      <c r="H234" s="10"/>
      <c r="I234" s="10">
        <v>54.43</v>
      </c>
    </row>
    <row r="235" spans="1:9" ht="21.75" customHeight="1">
      <c r="A235" s="8" t="s">
        <v>37</v>
      </c>
      <c r="B235" s="8" t="s">
        <v>38</v>
      </c>
      <c r="C235" s="9" t="str">
        <f t="shared" si="3"/>
        <v>230096</v>
      </c>
      <c r="D235" s="9" t="str">
        <f>"230911425"</f>
        <v>230911425</v>
      </c>
      <c r="E235" s="10">
        <v>61.11</v>
      </c>
      <c r="F235" s="10"/>
      <c r="G235" s="10">
        <v>49.93</v>
      </c>
      <c r="H235" s="10"/>
      <c r="I235" s="10">
        <v>54.4</v>
      </c>
    </row>
    <row r="236" spans="1:9" ht="21.75" customHeight="1">
      <c r="A236" s="8" t="s">
        <v>37</v>
      </c>
      <c r="B236" s="8" t="s">
        <v>38</v>
      </c>
      <c r="C236" s="9" t="str">
        <f t="shared" si="3"/>
        <v>230096</v>
      </c>
      <c r="D236" s="9" t="str">
        <f>"230911513"</f>
        <v>230911513</v>
      </c>
      <c r="E236" s="10">
        <v>48.04</v>
      </c>
      <c r="F236" s="10"/>
      <c r="G236" s="10">
        <v>58.09</v>
      </c>
      <c r="H236" s="10"/>
      <c r="I236" s="10">
        <v>54.07</v>
      </c>
    </row>
    <row r="237" spans="1:9" ht="21.75" customHeight="1">
      <c r="A237" s="8" t="s">
        <v>37</v>
      </c>
      <c r="B237" s="8" t="s">
        <v>38</v>
      </c>
      <c r="C237" s="9" t="str">
        <f t="shared" si="3"/>
        <v>230096</v>
      </c>
      <c r="D237" s="9" t="str">
        <f>"230911629"</f>
        <v>230911629</v>
      </c>
      <c r="E237" s="10">
        <v>60.3</v>
      </c>
      <c r="F237" s="10"/>
      <c r="G237" s="10">
        <v>49.78</v>
      </c>
      <c r="H237" s="10"/>
      <c r="I237" s="10">
        <v>53.99</v>
      </c>
    </row>
    <row r="238" spans="1:9" ht="21.75" customHeight="1">
      <c r="A238" s="8" t="s">
        <v>37</v>
      </c>
      <c r="B238" s="8" t="s">
        <v>38</v>
      </c>
      <c r="C238" s="9" t="str">
        <f t="shared" si="3"/>
        <v>230096</v>
      </c>
      <c r="D238" s="9" t="str">
        <f>"230912330"</f>
        <v>230912330</v>
      </c>
      <c r="E238" s="10">
        <v>65.37</v>
      </c>
      <c r="F238" s="10"/>
      <c r="G238" s="10">
        <v>46.23</v>
      </c>
      <c r="H238" s="10"/>
      <c r="I238" s="10">
        <v>53.89</v>
      </c>
    </row>
    <row r="239" spans="1:9" ht="21.75" customHeight="1">
      <c r="A239" s="8" t="s">
        <v>37</v>
      </c>
      <c r="B239" s="8" t="s">
        <v>38</v>
      </c>
      <c r="C239" s="9" t="str">
        <f t="shared" si="3"/>
        <v>230096</v>
      </c>
      <c r="D239" s="9" t="str">
        <f>"230911405"</f>
        <v>230911405</v>
      </c>
      <c r="E239" s="10">
        <v>70.900000000000006</v>
      </c>
      <c r="F239" s="10"/>
      <c r="G239" s="10">
        <v>42.45</v>
      </c>
      <c r="H239" s="10"/>
      <c r="I239" s="10">
        <v>53.83</v>
      </c>
    </row>
    <row r="240" spans="1:9" s="1" customFormat="1" ht="21.75" customHeight="1">
      <c r="A240" s="8" t="s">
        <v>37</v>
      </c>
      <c r="B240" s="8" t="s">
        <v>38</v>
      </c>
      <c r="C240" s="9" t="str">
        <f t="shared" si="3"/>
        <v>230096</v>
      </c>
      <c r="D240" s="9" t="str">
        <f>"230912418"</f>
        <v>230912418</v>
      </c>
      <c r="E240" s="10">
        <v>50.54</v>
      </c>
      <c r="F240" s="10"/>
      <c r="G240" s="10">
        <v>55.89</v>
      </c>
      <c r="H240" s="10"/>
      <c r="I240" s="10">
        <v>53.75</v>
      </c>
    </row>
    <row r="241" spans="1:9" s="1" customFormat="1" ht="21.75" customHeight="1">
      <c r="A241" s="8" t="s">
        <v>37</v>
      </c>
      <c r="B241" s="8" t="s">
        <v>38</v>
      </c>
      <c r="C241" s="9" t="str">
        <f t="shared" si="3"/>
        <v>230096</v>
      </c>
      <c r="D241" s="9" t="str">
        <f>"230911716"</f>
        <v>230911716</v>
      </c>
      <c r="E241" s="10">
        <v>52.98</v>
      </c>
      <c r="F241" s="10"/>
      <c r="G241" s="10">
        <v>53.96</v>
      </c>
      <c r="H241" s="10"/>
      <c r="I241" s="10">
        <v>53.57</v>
      </c>
    </row>
    <row r="242" spans="1:9" ht="21.75" customHeight="1">
      <c r="A242" s="8" t="s">
        <v>37</v>
      </c>
      <c r="B242" s="8" t="s">
        <v>38</v>
      </c>
      <c r="C242" s="9" t="str">
        <f t="shared" si="3"/>
        <v>230096</v>
      </c>
      <c r="D242" s="9" t="str">
        <f>"230911715"</f>
        <v>230911715</v>
      </c>
      <c r="E242" s="10">
        <v>48.81</v>
      </c>
      <c r="F242" s="10"/>
      <c r="G242" s="10">
        <v>55.85</v>
      </c>
      <c r="H242" s="10"/>
      <c r="I242" s="10">
        <v>53.03</v>
      </c>
    </row>
    <row r="243" spans="1:9" ht="21.75" customHeight="1">
      <c r="A243" s="8" t="s">
        <v>37</v>
      </c>
      <c r="B243" s="8" t="s">
        <v>38</v>
      </c>
      <c r="C243" s="9" t="str">
        <f t="shared" si="3"/>
        <v>230096</v>
      </c>
      <c r="D243" s="9" t="str">
        <f>"230912117"</f>
        <v>230912117</v>
      </c>
      <c r="E243" s="10">
        <v>62.75</v>
      </c>
      <c r="F243" s="10"/>
      <c r="G243" s="10">
        <v>46.42</v>
      </c>
      <c r="H243" s="10"/>
      <c r="I243" s="10">
        <v>52.95</v>
      </c>
    </row>
    <row r="244" spans="1:9" ht="21.75" customHeight="1">
      <c r="A244" s="8" t="s">
        <v>37</v>
      </c>
      <c r="B244" s="8" t="s">
        <v>38</v>
      </c>
      <c r="C244" s="9" t="str">
        <f t="shared" si="3"/>
        <v>230096</v>
      </c>
      <c r="D244" s="9" t="str">
        <f>"230911623"</f>
        <v>230911623</v>
      </c>
      <c r="E244" s="10">
        <v>60.21</v>
      </c>
      <c r="F244" s="10"/>
      <c r="G244" s="10">
        <v>47.8</v>
      </c>
      <c r="H244" s="10"/>
      <c r="I244" s="10">
        <v>52.76</v>
      </c>
    </row>
    <row r="245" spans="1:9" ht="21.75" customHeight="1">
      <c r="A245" s="8" t="s">
        <v>37</v>
      </c>
      <c r="B245" s="8" t="s">
        <v>38</v>
      </c>
      <c r="C245" s="9" t="str">
        <f t="shared" si="3"/>
        <v>230096</v>
      </c>
      <c r="D245" s="9" t="str">
        <f>"230911522"</f>
        <v>230911522</v>
      </c>
      <c r="E245" s="10">
        <v>65.61</v>
      </c>
      <c r="F245" s="10"/>
      <c r="G245" s="10">
        <v>44.17</v>
      </c>
      <c r="H245" s="10"/>
      <c r="I245" s="10">
        <v>52.75</v>
      </c>
    </row>
    <row r="246" spans="1:9" ht="21.75" customHeight="1">
      <c r="A246" s="8" t="s">
        <v>37</v>
      </c>
      <c r="B246" s="8" t="s">
        <v>38</v>
      </c>
      <c r="C246" s="9" t="str">
        <f t="shared" si="3"/>
        <v>230096</v>
      </c>
      <c r="D246" s="9" t="str">
        <f>"230911612"</f>
        <v>230911612</v>
      </c>
      <c r="E246" s="10">
        <v>63.98</v>
      </c>
      <c r="F246" s="10"/>
      <c r="G246" s="10">
        <v>44.98</v>
      </c>
      <c r="H246" s="10"/>
      <c r="I246" s="10">
        <v>52.58</v>
      </c>
    </row>
    <row r="247" spans="1:9" ht="21.75" customHeight="1">
      <c r="A247" s="8" t="s">
        <v>37</v>
      </c>
      <c r="B247" s="8" t="s">
        <v>38</v>
      </c>
      <c r="C247" s="9" t="str">
        <f t="shared" si="3"/>
        <v>230096</v>
      </c>
      <c r="D247" s="9" t="str">
        <f>"230911507"</f>
        <v>230911507</v>
      </c>
      <c r="E247" s="10">
        <v>47.84</v>
      </c>
      <c r="F247" s="10"/>
      <c r="G247" s="10">
        <v>55.56</v>
      </c>
      <c r="H247" s="10"/>
      <c r="I247" s="10">
        <v>52.47</v>
      </c>
    </row>
    <row r="248" spans="1:9" ht="21.75" customHeight="1">
      <c r="A248" s="8" t="s">
        <v>37</v>
      </c>
      <c r="B248" s="8" t="s">
        <v>38</v>
      </c>
      <c r="C248" s="9" t="str">
        <f t="shared" si="3"/>
        <v>230096</v>
      </c>
      <c r="D248" s="9" t="str">
        <f>"230912216"</f>
        <v>230912216</v>
      </c>
      <c r="E248" s="10">
        <v>70.55</v>
      </c>
      <c r="F248" s="10"/>
      <c r="G248" s="10">
        <v>40.35</v>
      </c>
      <c r="H248" s="10"/>
      <c r="I248" s="10">
        <v>52.43</v>
      </c>
    </row>
    <row r="249" spans="1:9" ht="21.75" customHeight="1">
      <c r="A249" s="8" t="s">
        <v>37</v>
      </c>
      <c r="B249" s="8" t="s">
        <v>38</v>
      </c>
      <c r="C249" s="9" t="str">
        <f t="shared" si="3"/>
        <v>230096</v>
      </c>
      <c r="D249" s="9" t="str">
        <f>"230912027"</f>
        <v>230912027</v>
      </c>
      <c r="E249" s="10">
        <v>50.08</v>
      </c>
      <c r="F249" s="10"/>
      <c r="G249" s="10">
        <v>53.87</v>
      </c>
      <c r="H249" s="10"/>
      <c r="I249" s="10">
        <v>52.35</v>
      </c>
    </row>
    <row r="250" spans="1:9" s="1" customFormat="1" ht="21.75" customHeight="1">
      <c r="A250" s="8" t="s">
        <v>37</v>
      </c>
      <c r="B250" s="8" t="s">
        <v>38</v>
      </c>
      <c r="C250" s="9" t="str">
        <f t="shared" si="3"/>
        <v>230096</v>
      </c>
      <c r="D250" s="9" t="str">
        <f>"230911627"</f>
        <v>230911627</v>
      </c>
      <c r="E250" s="10">
        <v>52.96</v>
      </c>
      <c r="F250" s="10"/>
      <c r="G250" s="10">
        <v>51.48</v>
      </c>
      <c r="H250" s="10"/>
      <c r="I250" s="10">
        <v>52.07</v>
      </c>
    </row>
    <row r="251" spans="1:9" ht="21.75" customHeight="1">
      <c r="A251" s="8" t="s">
        <v>37</v>
      </c>
      <c r="B251" s="8" t="s">
        <v>38</v>
      </c>
      <c r="C251" s="9" t="str">
        <f t="shared" si="3"/>
        <v>230096</v>
      </c>
      <c r="D251" s="9" t="str">
        <f>"230911918"</f>
        <v>230911918</v>
      </c>
      <c r="E251" s="10">
        <v>58.14</v>
      </c>
      <c r="F251" s="10"/>
      <c r="G251" s="10">
        <v>48.02</v>
      </c>
      <c r="H251" s="10"/>
      <c r="I251" s="10">
        <v>52.07</v>
      </c>
    </row>
    <row r="252" spans="1:9" ht="21.75" customHeight="1">
      <c r="A252" s="8" t="s">
        <v>37</v>
      </c>
      <c r="B252" s="8" t="s">
        <v>38</v>
      </c>
      <c r="C252" s="9" t="str">
        <f t="shared" si="3"/>
        <v>230096</v>
      </c>
      <c r="D252" s="9" t="str">
        <f>"230912001"</f>
        <v>230912001</v>
      </c>
      <c r="E252" s="10">
        <v>57.35</v>
      </c>
      <c r="F252" s="10"/>
      <c r="G252" s="10">
        <v>48.12</v>
      </c>
      <c r="H252" s="10"/>
      <c r="I252" s="10">
        <v>51.81</v>
      </c>
    </row>
    <row r="253" spans="1:9" ht="21.75" customHeight="1">
      <c r="A253" s="8" t="s">
        <v>37</v>
      </c>
      <c r="B253" s="8" t="s">
        <v>38</v>
      </c>
      <c r="C253" s="9" t="str">
        <f t="shared" si="3"/>
        <v>230096</v>
      </c>
      <c r="D253" s="9" t="str">
        <f>"230912005"</f>
        <v>230912005</v>
      </c>
      <c r="E253" s="10">
        <v>65.849999999999994</v>
      </c>
      <c r="F253" s="10"/>
      <c r="G253" s="10">
        <v>42.38</v>
      </c>
      <c r="H253" s="10"/>
      <c r="I253" s="10">
        <v>51.77</v>
      </c>
    </row>
    <row r="254" spans="1:9" ht="21.75" customHeight="1">
      <c r="A254" s="8" t="s">
        <v>37</v>
      </c>
      <c r="B254" s="8" t="s">
        <v>38</v>
      </c>
      <c r="C254" s="9" t="str">
        <f t="shared" si="3"/>
        <v>230096</v>
      </c>
      <c r="D254" s="9" t="str">
        <f>"230912508"</f>
        <v>230912508</v>
      </c>
      <c r="E254" s="10">
        <v>67.33</v>
      </c>
      <c r="F254" s="10"/>
      <c r="G254" s="10">
        <v>41.13</v>
      </c>
      <c r="H254" s="10"/>
      <c r="I254" s="10">
        <v>51.61</v>
      </c>
    </row>
    <row r="255" spans="1:9" ht="21.75" customHeight="1">
      <c r="A255" s="8" t="s">
        <v>37</v>
      </c>
      <c r="B255" s="8" t="s">
        <v>38</v>
      </c>
      <c r="C255" s="9" t="str">
        <f t="shared" si="3"/>
        <v>230096</v>
      </c>
      <c r="D255" s="9" t="str">
        <f>"230911511"</f>
        <v>230911511</v>
      </c>
      <c r="E255" s="10">
        <v>55.14</v>
      </c>
      <c r="F255" s="10"/>
      <c r="G255" s="10">
        <v>49.1</v>
      </c>
      <c r="H255" s="10"/>
      <c r="I255" s="10">
        <v>51.52</v>
      </c>
    </row>
    <row r="256" spans="1:9" ht="21.75" customHeight="1">
      <c r="A256" s="8" t="s">
        <v>37</v>
      </c>
      <c r="B256" s="8" t="s">
        <v>38</v>
      </c>
      <c r="C256" s="9" t="str">
        <f t="shared" si="3"/>
        <v>230096</v>
      </c>
      <c r="D256" s="9" t="str">
        <f>"230911301"</f>
        <v>230911301</v>
      </c>
      <c r="E256" s="10">
        <v>68.25</v>
      </c>
      <c r="F256" s="10"/>
      <c r="G256" s="10">
        <v>39.79</v>
      </c>
      <c r="H256" s="10"/>
      <c r="I256" s="10">
        <v>51.17</v>
      </c>
    </row>
    <row r="257" spans="1:9" ht="21.75" customHeight="1">
      <c r="A257" s="8" t="s">
        <v>37</v>
      </c>
      <c r="B257" s="8" t="s">
        <v>38</v>
      </c>
      <c r="C257" s="9" t="str">
        <f t="shared" si="3"/>
        <v>230096</v>
      </c>
      <c r="D257" s="9" t="str">
        <f>"230911923"</f>
        <v>230911923</v>
      </c>
      <c r="E257" s="10">
        <v>58.14</v>
      </c>
      <c r="F257" s="10"/>
      <c r="G257" s="10">
        <v>46.49</v>
      </c>
      <c r="H257" s="10"/>
      <c r="I257" s="10">
        <v>51.15</v>
      </c>
    </row>
    <row r="258" spans="1:9" ht="21.75" customHeight="1">
      <c r="A258" s="8" t="s">
        <v>37</v>
      </c>
      <c r="B258" s="8" t="s">
        <v>38</v>
      </c>
      <c r="C258" s="9" t="str">
        <f t="shared" si="3"/>
        <v>230096</v>
      </c>
      <c r="D258" s="9" t="str">
        <f>"230911801"</f>
        <v>230911801</v>
      </c>
      <c r="E258" s="10">
        <v>44.93</v>
      </c>
      <c r="F258" s="10"/>
      <c r="G258" s="10">
        <v>55.1</v>
      </c>
      <c r="H258" s="10"/>
      <c r="I258" s="10">
        <v>51.03</v>
      </c>
    </row>
    <row r="259" spans="1:9" ht="21.75" customHeight="1">
      <c r="A259" s="8" t="s">
        <v>37</v>
      </c>
      <c r="B259" s="8" t="s">
        <v>38</v>
      </c>
      <c r="C259" s="9" t="str">
        <f t="shared" ref="C259:C322" si="4">"230096"</f>
        <v>230096</v>
      </c>
      <c r="D259" s="9" t="str">
        <f>"230911702"</f>
        <v>230911702</v>
      </c>
      <c r="E259" s="10">
        <v>56.85</v>
      </c>
      <c r="F259" s="10"/>
      <c r="G259" s="10">
        <v>46.84</v>
      </c>
      <c r="H259" s="10"/>
      <c r="I259" s="10">
        <v>50.84</v>
      </c>
    </row>
    <row r="260" spans="1:9" ht="21.75" customHeight="1">
      <c r="A260" s="8" t="s">
        <v>37</v>
      </c>
      <c r="B260" s="8" t="s">
        <v>38</v>
      </c>
      <c r="C260" s="9" t="str">
        <f t="shared" si="4"/>
        <v>230096</v>
      </c>
      <c r="D260" s="9" t="str">
        <f>"230912304"</f>
        <v>230912304</v>
      </c>
      <c r="E260" s="10">
        <v>66.06</v>
      </c>
      <c r="F260" s="10"/>
      <c r="G260" s="10">
        <v>40.520000000000003</v>
      </c>
      <c r="H260" s="10"/>
      <c r="I260" s="10">
        <v>50.74</v>
      </c>
    </row>
    <row r="261" spans="1:9" ht="21.75" customHeight="1">
      <c r="A261" s="8" t="s">
        <v>37</v>
      </c>
      <c r="B261" s="8" t="s">
        <v>38</v>
      </c>
      <c r="C261" s="9" t="str">
        <f t="shared" si="4"/>
        <v>230096</v>
      </c>
      <c r="D261" s="9" t="str">
        <f>"230911323"</f>
        <v>230911323</v>
      </c>
      <c r="E261" s="10">
        <v>56.86</v>
      </c>
      <c r="F261" s="10"/>
      <c r="G261" s="10">
        <v>45.99</v>
      </c>
      <c r="H261" s="10"/>
      <c r="I261" s="10">
        <v>50.34</v>
      </c>
    </row>
    <row r="262" spans="1:9" ht="21.75" customHeight="1">
      <c r="A262" s="8" t="s">
        <v>37</v>
      </c>
      <c r="B262" s="8" t="s">
        <v>38</v>
      </c>
      <c r="C262" s="9" t="str">
        <f t="shared" si="4"/>
        <v>230096</v>
      </c>
      <c r="D262" s="9" t="str">
        <f>"230911815"</f>
        <v>230911815</v>
      </c>
      <c r="E262" s="10">
        <v>50.79</v>
      </c>
      <c r="F262" s="10"/>
      <c r="G262" s="10">
        <v>49</v>
      </c>
      <c r="H262" s="10"/>
      <c r="I262" s="10">
        <v>49.72</v>
      </c>
    </row>
    <row r="263" spans="1:9" ht="21.75" customHeight="1">
      <c r="A263" s="8" t="s">
        <v>37</v>
      </c>
      <c r="B263" s="8" t="s">
        <v>38</v>
      </c>
      <c r="C263" s="9" t="str">
        <f t="shared" si="4"/>
        <v>230096</v>
      </c>
      <c r="D263" s="9" t="str">
        <f>"230911605"</f>
        <v>230911605</v>
      </c>
      <c r="E263" s="10">
        <v>47.84</v>
      </c>
      <c r="F263" s="10"/>
      <c r="G263" s="10">
        <v>50.66</v>
      </c>
      <c r="H263" s="10"/>
      <c r="I263" s="10">
        <v>49.53</v>
      </c>
    </row>
    <row r="264" spans="1:9" ht="21.75" customHeight="1">
      <c r="A264" s="8" t="s">
        <v>37</v>
      </c>
      <c r="B264" s="8" t="s">
        <v>38</v>
      </c>
      <c r="C264" s="9" t="str">
        <f t="shared" si="4"/>
        <v>230096</v>
      </c>
      <c r="D264" s="9" t="str">
        <f>"230912516"</f>
        <v>230912516</v>
      </c>
      <c r="E264" s="10">
        <v>37.72</v>
      </c>
      <c r="F264" s="10"/>
      <c r="G264" s="10">
        <v>56.97</v>
      </c>
      <c r="H264" s="10"/>
      <c r="I264" s="10">
        <v>49.27</v>
      </c>
    </row>
    <row r="265" spans="1:9" s="1" customFormat="1" ht="21.75" customHeight="1">
      <c r="A265" s="8" t="s">
        <v>37</v>
      </c>
      <c r="B265" s="8" t="s">
        <v>38</v>
      </c>
      <c r="C265" s="9" t="str">
        <f t="shared" si="4"/>
        <v>230096</v>
      </c>
      <c r="D265" s="9" t="str">
        <f>"230912329"</f>
        <v>230912329</v>
      </c>
      <c r="E265" s="10">
        <v>66.87</v>
      </c>
      <c r="F265" s="10"/>
      <c r="G265" s="10">
        <v>37.25</v>
      </c>
      <c r="H265" s="10"/>
      <c r="I265" s="10">
        <v>49.1</v>
      </c>
    </row>
    <row r="266" spans="1:9" ht="21.75" customHeight="1">
      <c r="A266" s="8" t="s">
        <v>37</v>
      </c>
      <c r="B266" s="8" t="s">
        <v>38</v>
      </c>
      <c r="C266" s="9" t="str">
        <f t="shared" si="4"/>
        <v>230096</v>
      </c>
      <c r="D266" s="9" t="str">
        <f>"230912229"</f>
        <v>230912229</v>
      </c>
      <c r="E266" s="10">
        <v>54.1</v>
      </c>
      <c r="F266" s="10"/>
      <c r="G266" s="10">
        <v>45.31</v>
      </c>
      <c r="H266" s="10"/>
      <c r="I266" s="10">
        <v>48.83</v>
      </c>
    </row>
    <row r="267" spans="1:9" ht="21.75" customHeight="1">
      <c r="A267" s="8" t="s">
        <v>37</v>
      </c>
      <c r="B267" s="8" t="s">
        <v>38</v>
      </c>
      <c r="C267" s="9" t="str">
        <f t="shared" si="4"/>
        <v>230096</v>
      </c>
      <c r="D267" s="9" t="str">
        <f>"230911829"</f>
        <v>230911829</v>
      </c>
      <c r="E267" s="10">
        <v>62.38</v>
      </c>
      <c r="F267" s="10"/>
      <c r="G267" s="10">
        <v>39.770000000000003</v>
      </c>
      <c r="H267" s="10"/>
      <c r="I267" s="10">
        <v>48.81</v>
      </c>
    </row>
    <row r="268" spans="1:9" ht="21.75" customHeight="1">
      <c r="A268" s="8" t="s">
        <v>37</v>
      </c>
      <c r="B268" s="8" t="s">
        <v>38</v>
      </c>
      <c r="C268" s="9" t="str">
        <f t="shared" si="4"/>
        <v>230096</v>
      </c>
      <c r="D268" s="9" t="str">
        <f>"230911901"</f>
        <v>230911901</v>
      </c>
      <c r="E268" s="10">
        <v>53.08</v>
      </c>
      <c r="F268" s="10"/>
      <c r="G268" s="10">
        <v>45.59</v>
      </c>
      <c r="H268" s="10"/>
      <c r="I268" s="10">
        <v>48.59</v>
      </c>
    </row>
    <row r="269" spans="1:9" ht="21.75" customHeight="1">
      <c r="A269" s="8" t="s">
        <v>37</v>
      </c>
      <c r="B269" s="8" t="s">
        <v>38</v>
      </c>
      <c r="C269" s="9" t="str">
        <f t="shared" si="4"/>
        <v>230096</v>
      </c>
      <c r="D269" s="9" t="str">
        <f>"230911816"</f>
        <v>230911816</v>
      </c>
      <c r="E269" s="10">
        <v>56.09</v>
      </c>
      <c r="F269" s="10"/>
      <c r="G269" s="10">
        <v>43.24</v>
      </c>
      <c r="H269" s="10"/>
      <c r="I269" s="10">
        <v>48.38</v>
      </c>
    </row>
    <row r="270" spans="1:9" ht="21.75" customHeight="1">
      <c r="A270" s="8" t="s">
        <v>37</v>
      </c>
      <c r="B270" s="8" t="s">
        <v>38</v>
      </c>
      <c r="C270" s="9" t="str">
        <f t="shared" si="4"/>
        <v>230096</v>
      </c>
      <c r="D270" s="9" t="str">
        <f>"230912512"</f>
        <v>230912512</v>
      </c>
      <c r="E270" s="10">
        <v>63.07</v>
      </c>
      <c r="F270" s="10"/>
      <c r="G270" s="10">
        <v>38.49</v>
      </c>
      <c r="H270" s="10"/>
      <c r="I270" s="10">
        <v>48.32</v>
      </c>
    </row>
    <row r="271" spans="1:9" ht="21.75" customHeight="1">
      <c r="A271" s="8" t="s">
        <v>37</v>
      </c>
      <c r="B271" s="8" t="s">
        <v>38</v>
      </c>
      <c r="C271" s="9" t="str">
        <f t="shared" si="4"/>
        <v>230096</v>
      </c>
      <c r="D271" s="9" t="str">
        <f>"230912113"</f>
        <v>230912113</v>
      </c>
      <c r="E271" s="10">
        <v>56.87</v>
      </c>
      <c r="F271" s="10"/>
      <c r="G271" s="10">
        <v>42.56</v>
      </c>
      <c r="H271" s="10"/>
      <c r="I271" s="10">
        <v>48.28</v>
      </c>
    </row>
    <row r="272" spans="1:9" ht="21.75" customHeight="1">
      <c r="A272" s="8" t="s">
        <v>37</v>
      </c>
      <c r="B272" s="8" t="s">
        <v>38</v>
      </c>
      <c r="C272" s="9" t="str">
        <f t="shared" si="4"/>
        <v>230096</v>
      </c>
      <c r="D272" s="9" t="str">
        <f>"230912429"</f>
        <v>230912429</v>
      </c>
      <c r="E272" s="10">
        <v>57.43</v>
      </c>
      <c r="F272" s="10"/>
      <c r="G272" s="10">
        <v>41.93</v>
      </c>
      <c r="H272" s="10"/>
      <c r="I272" s="10">
        <v>48.13</v>
      </c>
    </row>
    <row r="273" spans="1:9" s="1" customFormat="1" ht="21.75" customHeight="1">
      <c r="A273" s="8" t="s">
        <v>37</v>
      </c>
      <c r="B273" s="8" t="s">
        <v>38</v>
      </c>
      <c r="C273" s="9" t="str">
        <f t="shared" si="4"/>
        <v>230096</v>
      </c>
      <c r="D273" s="9" t="str">
        <f>"230911710"</f>
        <v>230911710</v>
      </c>
      <c r="E273" s="10">
        <v>56.18</v>
      </c>
      <c r="F273" s="10"/>
      <c r="G273" s="10">
        <v>42.04</v>
      </c>
      <c r="H273" s="10"/>
      <c r="I273" s="10">
        <v>47.7</v>
      </c>
    </row>
    <row r="274" spans="1:9" ht="21.75" customHeight="1">
      <c r="A274" s="8" t="s">
        <v>37</v>
      </c>
      <c r="B274" s="8" t="s">
        <v>38</v>
      </c>
      <c r="C274" s="9" t="str">
        <f t="shared" si="4"/>
        <v>230096</v>
      </c>
      <c r="D274" s="9" t="str">
        <f>"230911714"</f>
        <v>230911714</v>
      </c>
      <c r="E274" s="10">
        <v>50.09</v>
      </c>
      <c r="F274" s="10"/>
      <c r="G274" s="10">
        <v>45.91</v>
      </c>
      <c r="H274" s="10"/>
      <c r="I274" s="10">
        <v>47.58</v>
      </c>
    </row>
    <row r="275" spans="1:9" ht="21.75" customHeight="1">
      <c r="A275" s="8" t="s">
        <v>37</v>
      </c>
      <c r="B275" s="8" t="s">
        <v>38</v>
      </c>
      <c r="C275" s="9" t="str">
        <f t="shared" si="4"/>
        <v>230096</v>
      </c>
      <c r="D275" s="9" t="str">
        <f>"230912413"</f>
        <v>230912413</v>
      </c>
      <c r="E275" s="10">
        <v>59.98</v>
      </c>
      <c r="F275" s="10"/>
      <c r="G275" s="10">
        <v>38.89</v>
      </c>
      <c r="H275" s="10"/>
      <c r="I275" s="10">
        <v>47.33</v>
      </c>
    </row>
    <row r="276" spans="1:9" s="1" customFormat="1" ht="21.75" customHeight="1">
      <c r="A276" s="8" t="s">
        <v>37</v>
      </c>
      <c r="B276" s="8" t="s">
        <v>38</v>
      </c>
      <c r="C276" s="9" t="str">
        <f t="shared" si="4"/>
        <v>230096</v>
      </c>
      <c r="D276" s="9" t="str">
        <f>"230912514"</f>
        <v>230912514</v>
      </c>
      <c r="E276" s="10">
        <v>53.91</v>
      </c>
      <c r="F276" s="10"/>
      <c r="G276" s="10">
        <v>42.16</v>
      </c>
      <c r="H276" s="10"/>
      <c r="I276" s="10">
        <v>46.86</v>
      </c>
    </row>
    <row r="277" spans="1:9" ht="21.75" customHeight="1">
      <c r="A277" s="8" t="s">
        <v>37</v>
      </c>
      <c r="B277" s="8" t="s">
        <v>38</v>
      </c>
      <c r="C277" s="9" t="str">
        <f t="shared" si="4"/>
        <v>230096</v>
      </c>
      <c r="D277" s="9" t="str">
        <f>"230912003"</f>
        <v>230912003</v>
      </c>
      <c r="E277" s="10">
        <v>49.63</v>
      </c>
      <c r="F277" s="10"/>
      <c r="G277" s="10">
        <v>44.11</v>
      </c>
      <c r="H277" s="10"/>
      <c r="I277" s="10">
        <v>46.32</v>
      </c>
    </row>
    <row r="278" spans="1:9" ht="21.75" customHeight="1">
      <c r="A278" s="8" t="s">
        <v>37</v>
      </c>
      <c r="B278" s="8" t="s">
        <v>38</v>
      </c>
      <c r="C278" s="9" t="str">
        <f t="shared" si="4"/>
        <v>230096</v>
      </c>
      <c r="D278" s="9" t="str">
        <f>"230912026"</f>
        <v>230912026</v>
      </c>
      <c r="E278" s="10">
        <v>59.51</v>
      </c>
      <c r="F278" s="10"/>
      <c r="G278" s="10">
        <v>37.17</v>
      </c>
      <c r="H278" s="10"/>
      <c r="I278" s="10">
        <v>46.11</v>
      </c>
    </row>
    <row r="279" spans="1:9" ht="21.75" customHeight="1">
      <c r="A279" s="8" t="s">
        <v>37</v>
      </c>
      <c r="B279" s="8" t="s">
        <v>38</v>
      </c>
      <c r="C279" s="9" t="str">
        <f t="shared" si="4"/>
        <v>230096</v>
      </c>
      <c r="D279" s="9" t="str">
        <f>"230911628"</f>
        <v>230911628</v>
      </c>
      <c r="E279" s="10">
        <v>51.69</v>
      </c>
      <c r="F279" s="10"/>
      <c r="G279" s="10">
        <v>41.82</v>
      </c>
      <c r="H279" s="10"/>
      <c r="I279" s="10">
        <v>45.77</v>
      </c>
    </row>
    <row r="280" spans="1:9" ht="21.75" customHeight="1">
      <c r="A280" s="8" t="s">
        <v>37</v>
      </c>
      <c r="B280" s="8" t="s">
        <v>38</v>
      </c>
      <c r="C280" s="9" t="str">
        <f t="shared" si="4"/>
        <v>230096</v>
      </c>
      <c r="D280" s="9" t="str">
        <f>"230912213"</f>
        <v>230912213</v>
      </c>
      <c r="E280" s="10">
        <v>52.61</v>
      </c>
      <c r="F280" s="10"/>
      <c r="G280" s="10">
        <v>41.1</v>
      </c>
      <c r="H280" s="10"/>
      <c r="I280" s="10">
        <v>45.7</v>
      </c>
    </row>
    <row r="281" spans="1:9" ht="21.75" customHeight="1">
      <c r="A281" s="8" t="s">
        <v>37</v>
      </c>
      <c r="B281" s="8" t="s">
        <v>38</v>
      </c>
      <c r="C281" s="9" t="str">
        <f t="shared" si="4"/>
        <v>230096</v>
      </c>
      <c r="D281" s="9" t="str">
        <f>"230912209"</f>
        <v>230912209</v>
      </c>
      <c r="E281" s="10">
        <v>52.61</v>
      </c>
      <c r="F281" s="10"/>
      <c r="G281" s="10">
        <v>39.25</v>
      </c>
      <c r="H281" s="10"/>
      <c r="I281" s="10">
        <v>44.59</v>
      </c>
    </row>
    <row r="282" spans="1:9" ht="21.75" customHeight="1">
      <c r="A282" s="8" t="s">
        <v>37</v>
      </c>
      <c r="B282" s="8" t="s">
        <v>38</v>
      </c>
      <c r="C282" s="9" t="str">
        <f t="shared" si="4"/>
        <v>230096</v>
      </c>
      <c r="D282" s="9" t="str">
        <f>"230911812"</f>
        <v>230911812</v>
      </c>
      <c r="E282" s="10">
        <v>57.44</v>
      </c>
      <c r="F282" s="10"/>
      <c r="G282" s="10">
        <v>35.33</v>
      </c>
      <c r="H282" s="10"/>
      <c r="I282" s="10">
        <v>44.17</v>
      </c>
    </row>
    <row r="283" spans="1:9" ht="21.75" customHeight="1">
      <c r="A283" s="8" t="s">
        <v>37</v>
      </c>
      <c r="B283" s="8" t="s">
        <v>38</v>
      </c>
      <c r="C283" s="9" t="str">
        <f t="shared" si="4"/>
        <v>230096</v>
      </c>
      <c r="D283" s="9" t="str">
        <f>"230912230"</f>
        <v>230912230</v>
      </c>
      <c r="E283" s="10">
        <v>59.17</v>
      </c>
      <c r="F283" s="10"/>
      <c r="G283" s="10">
        <v>34.07</v>
      </c>
      <c r="H283" s="10"/>
      <c r="I283" s="10">
        <v>44.11</v>
      </c>
    </row>
    <row r="284" spans="1:9" s="1" customFormat="1" ht="21.75" customHeight="1">
      <c r="A284" s="8" t="s">
        <v>37</v>
      </c>
      <c r="B284" s="8" t="s">
        <v>38</v>
      </c>
      <c r="C284" s="9" t="str">
        <f t="shared" si="4"/>
        <v>230096</v>
      </c>
      <c r="D284" s="9" t="str">
        <f>"230911329"</f>
        <v>230911329</v>
      </c>
      <c r="E284" s="10">
        <v>45.71</v>
      </c>
      <c r="F284" s="10"/>
      <c r="G284" s="10">
        <v>42.62</v>
      </c>
      <c r="H284" s="10"/>
      <c r="I284" s="10">
        <v>43.86</v>
      </c>
    </row>
    <row r="285" spans="1:9" ht="21.75" customHeight="1">
      <c r="A285" s="8" t="s">
        <v>37</v>
      </c>
      <c r="B285" s="8" t="s">
        <v>38</v>
      </c>
      <c r="C285" s="9" t="str">
        <f t="shared" si="4"/>
        <v>230096</v>
      </c>
      <c r="D285" s="9" t="str">
        <f>"230912214"</f>
        <v>230912214</v>
      </c>
      <c r="E285" s="10">
        <v>46.51</v>
      </c>
      <c r="F285" s="10"/>
      <c r="G285" s="10">
        <v>41.64</v>
      </c>
      <c r="H285" s="10"/>
      <c r="I285" s="10">
        <v>43.59</v>
      </c>
    </row>
    <row r="286" spans="1:9" ht="21.75" customHeight="1">
      <c r="A286" s="8" t="s">
        <v>37</v>
      </c>
      <c r="B286" s="8" t="s">
        <v>38</v>
      </c>
      <c r="C286" s="9" t="str">
        <f t="shared" si="4"/>
        <v>230096</v>
      </c>
      <c r="D286" s="9" t="str">
        <f>"230912007"</f>
        <v>230912007</v>
      </c>
      <c r="E286" s="10">
        <v>53.54</v>
      </c>
      <c r="F286" s="10"/>
      <c r="G286" s="10">
        <v>35.47</v>
      </c>
      <c r="H286" s="10"/>
      <c r="I286" s="10">
        <v>42.7</v>
      </c>
    </row>
    <row r="287" spans="1:9" s="1" customFormat="1" ht="21.75" customHeight="1">
      <c r="A287" s="8" t="s">
        <v>37</v>
      </c>
      <c r="B287" s="8" t="s">
        <v>38</v>
      </c>
      <c r="C287" s="9" t="str">
        <f t="shared" si="4"/>
        <v>230096</v>
      </c>
      <c r="D287" s="9" t="str">
        <f>"230911413"</f>
        <v>230911413</v>
      </c>
      <c r="E287" s="10">
        <v>29.44</v>
      </c>
      <c r="F287" s="10"/>
      <c r="G287" s="10">
        <v>51.48</v>
      </c>
      <c r="H287" s="10"/>
      <c r="I287" s="10">
        <v>42.66</v>
      </c>
    </row>
    <row r="288" spans="1:9" ht="21.75" customHeight="1">
      <c r="A288" s="8" t="s">
        <v>37</v>
      </c>
      <c r="B288" s="8" t="s">
        <v>38</v>
      </c>
      <c r="C288" s="9" t="str">
        <f t="shared" si="4"/>
        <v>230096</v>
      </c>
      <c r="D288" s="9" t="str">
        <f>"230911909"</f>
        <v>230911909</v>
      </c>
      <c r="E288" s="10">
        <v>50.44</v>
      </c>
      <c r="F288" s="10">
        <v>2</v>
      </c>
      <c r="G288" s="10">
        <v>33.619999999999997</v>
      </c>
      <c r="H288" s="10">
        <v>2</v>
      </c>
      <c r="I288" s="11">
        <v>42.35</v>
      </c>
    </row>
    <row r="289" spans="1:9" ht="21.75" customHeight="1">
      <c r="A289" s="8" t="s">
        <v>37</v>
      </c>
      <c r="B289" s="8" t="s">
        <v>38</v>
      </c>
      <c r="C289" s="9" t="str">
        <f t="shared" si="4"/>
        <v>230096</v>
      </c>
      <c r="D289" s="9" t="str">
        <f>"230912012"</f>
        <v>230912012</v>
      </c>
      <c r="E289" s="10">
        <v>44.23</v>
      </c>
      <c r="F289" s="10"/>
      <c r="G289" s="10">
        <v>37.64</v>
      </c>
      <c r="H289" s="10"/>
      <c r="I289" s="10">
        <v>40.28</v>
      </c>
    </row>
    <row r="290" spans="1:9" ht="21.75" customHeight="1">
      <c r="A290" s="8" t="s">
        <v>37</v>
      </c>
      <c r="B290" s="8" t="s">
        <v>38</v>
      </c>
      <c r="C290" s="9" t="str">
        <f t="shared" si="4"/>
        <v>230096</v>
      </c>
      <c r="D290" s="9" t="str">
        <f>"230911517"</f>
        <v>230911517</v>
      </c>
      <c r="E290" s="10">
        <v>34.6</v>
      </c>
      <c r="F290" s="10"/>
      <c r="G290" s="10">
        <v>40.090000000000003</v>
      </c>
      <c r="H290" s="10"/>
      <c r="I290" s="10">
        <v>37.89</v>
      </c>
    </row>
    <row r="291" spans="1:9" ht="21.75" customHeight="1">
      <c r="A291" s="8" t="s">
        <v>37</v>
      </c>
      <c r="B291" s="8" t="s">
        <v>38</v>
      </c>
      <c r="C291" s="9" t="str">
        <f t="shared" si="4"/>
        <v>230096</v>
      </c>
      <c r="D291" s="9" t="str">
        <f>"230911906"</f>
        <v>230911906</v>
      </c>
      <c r="E291" s="10">
        <v>33.76</v>
      </c>
      <c r="F291" s="10"/>
      <c r="G291" s="10">
        <v>36.67</v>
      </c>
      <c r="H291" s="10"/>
      <c r="I291" s="10">
        <v>35.51</v>
      </c>
    </row>
    <row r="292" spans="1:9" ht="21.75" customHeight="1">
      <c r="A292" s="8" t="s">
        <v>37</v>
      </c>
      <c r="B292" s="8" t="s">
        <v>38</v>
      </c>
      <c r="C292" s="9" t="str">
        <f t="shared" si="4"/>
        <v>230096</v>
      </c>
      <c r="D292" s="9" t="str">
        <f>"230912323"</f>
        <v>230912323</v>
      </c>
      <c r="E292" s="10">
        <v>16.43</v>
      </c>
      <c r="F292" s="10"/>
      <c r="G292" s="10">
        <v>14.49</v>
      </c>
      <c r="H292" s="10"/>
      <c r="I292" s="10">
        <v>15.27</v>
      </c>
    </row>
    <row r="293" spans="1:9" ht="21.75" customHeight="1">
      <c r="A293" s="8" t="s">
        <v>37</v>
      </c>
      <c r="B293" s="8" t="s">
        <v>38</v>
      </c>
      <c r="C293" s="9" t="str">
        <f t="shared" si="4"/>
        <v>230096</v>
      </c>
      <c r="D293" s="9" t="str">
        <f>"230911302"</f>
        <v>230911302</v>
      </c>
      <c r="E293" s="10">
        <v>0</v>
      </c>
      <c r="F293" s="10"/>
      <c r="G293" s="10">
        <v>0</v>
      </c>
      <c r="H293" s="10"/>
      <c r="I293" s="10">
        <v>0</v>
      </c>
    </row>
    <row r="294" spans="1:9" ht="21.75" customHeight="1">
      <c r="A294" s="8" t="s">
        <v>37</v>
      </c>
      <c r="B294" s="8" t="s">
        <v>38</v>
      </c>
      <c r="C294" s="9" t="str">
        <f t="shared" si="4"/>
        <v>230096</v>
      </c>
      <c r="D294" s="9" t="str">
        <f>"230911303"</f>
        <v>230911303</v>
      </c>
      <c r="E294" s="10">
        <v>0</v>
      </c>
      <c r="F294" s="10"/>
      <c r="G294" s="10">
        <v>0</v>
      </c>
      <c r="H294" s="10"/>
      <c r="I294" s="10">
        <v>0</v>
      </c>
    </row>
    <row r="295" spans="1:9" ht="21.75" customHeight="1">
      <c r="A295" s="8" t="s">
        <v>37</v>
      </c>
      <c r="B295" s="8" t="s">
        <v>38</v>
      </c>
      <c r="C295" s="9" t="str">
        <f t="shared" si="4"/>
        <v>230096</v>
      </c>
      <c r="D295" s="9" t="str">
        <f>"230911304"</f>
        <v>230911304</v>
      </c>
      <c r="E295" s="10">
        <v>0</v>
      </c>
      <c r="F295" s="10"/>
      <c r="G295" s="10">
        <v>0</v>
      </c>
      <c r="H295" s="10"/>
      <c r="I295" s="10">
        <v>0</v>
      </c>
    </row>
    <row r="296" spans="1:9" ht="21.75" customHeight="1">
      <c r="A296" s="8" t="s">
        <v>37</v>
      </c>
      <c r="B296" s="8" t="s">
        <v>38</v>
      </c>
      <c r="C296" s="9" t="str">
        <f t="shared" si="4"/>
        <v>230096</v>
      </c>
      <c r="D296" s="9" t="str">
        <f>"230911305"</f>
        <v>230911305</v>
      </c>
      <c r="E296" s="10">
        <v>0</v>
      </c>
      <c r="F296" s="10"/>
      <c r="G296" s="10">
        <v>0</v>
      </c>
      <c r="H296" s="10"/>
      <c r="I296" s="10">
        <v>0</v>
      </c>
    </row>
    <row r="297" spans="1:9" ht="21.75" customHeight="1">
      <c r="A297" s="8" t="s">
        <v>37</v>
      </c>
      <c r="B297" s="8" t="s">
        <v>38</v>
      </c>
      <c r="C297" s="9" t="str">
        <f t="shared" si="4"/>
        <v>230096</v>
      </c>
      <c r="D297" s="9" t="str">
        <f>"230911306"</f>
        <v>230911306</v>
      </c>
      <c r="E297" s="10">
        <v>0</v>
      </c>
      <c r="F297" s="10"/>
      <c r="G297" s="10">
        <v>0</v>
      </c>
      <c r="H297" s="10"/>
      <c r="I297" s="10">
        <v>0</v>
      </c>
    </row>
    <row r="298" spans="1:9" ht="21.75" customHeight="1">
      <c r="A298" s="8" t="s">
        <v>37</v>
      </c>
      <c r="B298" s="8" t="s">
        <v>38</v>
      </c>
      <c r="C298" s="9" t="str">
        <f t="shared" si="4"/>
        <v>230096</v>
      </c>
      <c r="D298" s="9" t="str">
        <f>"230911316"</f>
        <v>230911316</v>
      </c>
      <c r="E298" s="10">
        <v>0</v>
      </c>
      <c r="F298" s="10"/>
      <c r="G298" s="10">
        <v>0</v>
      </c>
      <c r="H298" s="10"/>
      <c r="I298" s="10">
        <v>0</v>
      </c>
    </row>
    <row r="299" spans="1:9" s="1" customFormat="1" ht="21.75" customHeight="1">
      <c r="A299" s="8" t="s">
        <v>37</v>
      </c>
      <c r="B299" s="8" t="s">
        <v>38</v>
      </c>
      <c r="C299" s="9" t="str">
        <f t="shared" si="4"/>
        <v>230096</v>
      </c>
      <c r="D299" s="9" t="str">
        <f>"230911317"</f>
        <v>230911317</v>
      </c>
      <c r="E299" s="10">
        <v>0</v>
      </c>
      <c r="F299" s="10"/>
      <c r="G299" s="10">
        <v>0</v>
      </c>
      <c r="H299" s="10"/>
      <c r="I299" s="10">
        <v>0</v>
      </c>
    </row>
    <row r="300" spans="1:9" ht="21.75" customHeight="1">
      <c r="A300" s="8" t="s">
        <v>37</v>
      </c>
      <c r="B300" s="8" t="s">
        <v>38</v>
      </c>
      <c r="C300" s="9" t="str">
        <f t="shared" si="4"/>
        <v>230096</v>
      </c>
      <c r="D300" s="9" t="str">
        <f>"230911326"</f>
        <v>230911326</v>
      </c>
      <c r="E300" s="10">
        <v>0</v>
      </c>
      <c r="F300" s="10"/>
      <c r="G300" s="10">
        <v>0</v>
      </c>
      <c r="H300" s="10"/>
      <c r="I300" s="10">
        <v>0</v>
      </c>
    </row>
    <row r="301" spans="1:9" ht="21.75" customHeight="1">
      <c r="A301" s="8" t="s">
        <v>37</v>
      </c>
      <c r="B301" s="8" t="s">
        <v>38</v>
      </c>
      <c r="C301" s="9" t="str">
        <f t="shared" si="4"/>
        <v>230096</v>
      </c>
      <c r="D301" s="9" t="str">
        <f>"230911409"</f>
        <v>230911409</v>
      </c>
      <c r="E301" s="10">
        <v>0</v>
      </c>
      <c r="F301" s="10"/>
      <c r="G301" s="10">
        <v>0</v>
      </c>
      <c r="H301" s="10"/>
      <c r="I301" s="10">
        <v>0</v>
      </c>
    </row>
    <row r="302" spans="1:9" ht="21.75" customHeight="1">
      <c r="A302" s="8" t="s">
        <v>37</v>
      </c>
      <c r="B302" s="8" t="s">
        <v>38</v>
      </c>
      <c r="C302" s="9" t="str">
        <f t="shared" si="4"/>
        <v>230096</v>
      </c>
      <c r="D302" s="9" t="str">
        <f>"230911410"</f>
        <v>230911410</v>
      </c>
      <c r="E302" s="10">
        <v>0</v>
      </c>
      <c r="F302" s="10"/>
      <c r="G302" s="10">
        <v>0</v>
      </c>
      <c r="H302" s="10"/>
      <c r="I302" s="10">
        <v>0</v>
      </c>
    </row>
    <row r="303" spans="1:9" ht="21.75" customHeight="1">
      <c r="A303" s="8" t="s">
        <v>37</v>
      </c>
      <c r="B303" s="8" t="s">
        <v>38</v>
      </c>
      <c r="C303" s="9" t="str">
        <f t="shared" si="4"/>
        <v>230096</v>
      </c>
      <c r="D303" s="9" t="str">
        <f>"230911415"</f>
        <v>230911415</v>
      </c>
      <c r="E303" s="10">
        <v>0</v>
      </c>
      <c r="F303" s="10"/>
      <c r="G303" s="10">
        <v>0</v>
      </c>
      <c r="H303" s="10"/>
      <c r="I303" s="10">
        <v>0</v>
      </c>
    </row>
    <row r="304" spans="1:9" ht="21.75" customHeight="1">
      <c r="A304" s="8" t="s">
        <v>37</v>
      </c>
      <c r="B304" s="8" t="s">
        <v>38</v>
      </c>
      <c r="C304" s="9" t="str">
        <f t="shared" si="4"/>
        <v>230096</v>
      </c>
      <c r="D304" s="9" t="str">
        <f>"230911416"</f>
        <v>230911416</v>
      </c>
      <c r="E304" s="10">
        <v>0</v>
      </c>
      <c r="F304" s="10"/>
      <c r="G304" s="10">
        <v>0</v>
      </c>
      <c r="H304" s="10"/>
      <c r="I304" s="10">
        <v>0</v>
      </c>
    </row>
    <row r="305" spans="1:9" ht="21.75" customHeight="1">
      <c r="A305" s="8" t="s">
        <v>37</v>
      </c>
      <c r="B305" s="8" t="s">
        <v>38</v>
      </c>
      <c r="C305" s="9" t="str">
        <f t="shared" si="4"/>
        <v>230096</v>
      </c>
      <c r="D305" s="9" t="str">
        <f>"230911426"</f>
        <v>230911426</v>
      </c>
      <c r="E305" s="10">
        <v>0</v>
      </c>
      <c r="F305" s="10"/>
      <c r="G305" s="10">
        <v>0</v>
      </c>
      <c r="H305" s="10"/>
      <c r="I305" s="10">
        <v>0</v>
      </c>
    </row>
    <row r="306" spans="1:9" ht="21.75" customHeight="1">
      <c r="A306" s="8" t="s">
        <v>37</v>
      </c>
      <c r="B306" s="8" t="s">
        <v>38</v>
      </c>
      <c r="C306" s="9" t="str">
        <f t="shared" si="4"/>
        <v>230096</v>
      </c>
      <c r="D306" s="9" t="str">
        <f>"230911429"</f>
        <v>230911429</v>
      </c>
      <c r="E306" s="10">
        <v>0</v>
      </c>
      <c r="F306" s="10"/>
      <c r="G306" s="10">
        <v>0</v>
      </c>
      <c r="H306" s="10"/>
      <c r="I306" s="10">
        <v>0</v>
      </c>
    </row>
    <row r="307" spans="1:9" ht="21.75" customHeight="1">
      <c r="A307" s="8" t="s">
        <v>37</v>
      </c>
      <c r="B307" s="8" t="s">
        <v>38</v>
      </c>
      <c r="C307" s="9" t="str">
        <f t="shared" si="4"/>
        <v>230096</v>
      </c>
      <c r="D307" s="9" t="str">
        <f>"230911503"</f>
        <v>230911503</v>
      </c>
      <c r="E307" s="10">
        <v>0</v>
      </c>
      <c r="F307" s="10"/>
      <c r="G307" s="10">
        <v>0</v>
      </c>
      <c r="H307" s="10"/>
      <c r="I307" s="10">
        <v>0</v>
      </c>
    </row>
    <row r="308" spans="1:9" ht="21.75" customHeight="1">
      <c r="A308" s="8" t="s">
        <v>37</v>
      </c>
      <c r="B308" s="8" t="s">
        <v>38</v>
      </c>
      <c r="C308" s="9" t="str">
        <f t="shared" si="4"/>
        <v>230096</v>
      </c>
      <c r="D308" s="9" t="str">
        <f>"230911505"</f>
        <v>230911505</v>
      </c>
      <c r="E308" s="10">
        <v>0</v>
      </c>
      <c r="F308" s="10"/>
      <c r="G308" s="10">
        <v>0</v>
      </c>
      <c r="H308" s="10"/>
      <c r="I308" s="10">
        <v>0</v>
      </c>
    </row>
    <row r="309" spans="1:9" ht="21.75" customHeight="1">
      <c r="A309" s="8" t="s">
        <v>37</v>
      </c>
      <c r="B309" s="8" t="s">
        <v>38</v>
      </c>
      <c r="C309" s="9" t="str">
        <f t="shared" si="4"/>
        <v>230096</v>
      </c>
      <c r="D309" s="9" t="str">
        <f>"230911508"</f>
        <v>230911508</v>
      </c>
      <c r="E309" s="10">
        <v>0</v>
      </c>
      <c r="F309" s="10"/>
      <c r="G309" s="10">
        <v>0</v>
      </c>
      <c r="H309" s="10"/>
      <c r="I309" s="10">
        <v>0</v>
      </c>
    </row>
    <row r="310" spans="1:9" s="1" customFormat="1" ht="21.75" customHeight="1">
      <c r="A310" s="8" t="s">
        <v>37</v>
      </c>
      <c r="B310" s="8" t="s">
        <v>38</v>
      </c>
      <c r="C310" s="9" t="str">
        <f t="shared" si="4"/>
        <v>230096</v>
      </c>
      <c r="D310" s="9" t="str">
        <f>"230911514"</f>
        <v>230911514</v>
      </c>
      <c r="E310" s="10">
        <v>0</v>
      </c>
      <c r="F310" s="10"/>
      <c r="G310" s="10">
        <v>0</v>
      </c>
      <c r="H310" s="10"/>
      <c r="I310" s="10">
        <v>0</v>
      </c>
    </row>
    <row r="311" spans="1:9" ht="21.75" customHeight="1">
      <c r="A311" s="8" t="s">
        <v>37</v>
      </c>
      <c r="B311" s="8" t="s">
        <v>38</v>
      </c>
      <c r="C311" s="9" t="str">
        <f t="shared" si="4"/>
        <v>230096</v>
      </c>
      <c r="D311" s="9" t="str">
        <f>"230911516"</f>
        <v>230911516</v>
      </c>
      <c r="E311" s="10">
        <v>0</v>
      </c>
      <c r="F311" s="10"/>
      <c r="G311" s="10">
        <v>0</v>
      </c>
      <c r="H311" s="10"/>
      <c r="I311" s="10">
        <v>0</v>
      </c>
    </row>
    <row r="312" spans="1:9" ht="21.75" customHeight="1">
      <c r="A312" s="8" t="s">
        <v>37</v>
      </c>
      <c r="B312" s="8" t="s">
        <v>38</v>
      </c>
      <c r="C312" s="9" t="str">
        <f t="shared" si="4"/>
        <v>230096</v>
      </c>
      <c r="D312" s="9" t="str">
        <f>"230911519"</f>
        <v>230911519</v>
      </c>
      <c r="E312" s="10">
        <v>0</v>
      </c>
      <c r="F312" s="10"/>
      <c r="G312" s="10">
        <v>0</v>
      </c>
      <c r="H312" s="10"/>
      <c r="I312" s="10">
        <v>0</v>
      </c>
    </row>
    <row r="313" spans="1:9" ht="21.75" customHeight="1">
      <c r="A313" s="8" t="s">
        <v>37</v>
      </c>
      <c r="B313" s="8" t="s">
        <v>38</v>
      </c>
      <c r="C313" s="9" t="str">
        <f t="shared" si="4"/>
        <v>230096</v>
      </c>
      <c r="D313" s="9" t="str">
        <f>"230911523"</f>
        <v>230911523</v>
      </c>
      <c r="E313" s="10">
        <v>0</v>
      </c>
      <c r="F313" s="10"/>
      <c r="G313" s="10">
        <v>0</v>
      </c>
      <c r="H313" s="10"/>
      <c r="I313" s="10">
        <v>0</v>
      </c>
    </row>
    <row r="314" spans="1:9" s="1" customFormat="1" ht="21.75" customHeight="1">
      <c r="A314" s="8" t="s">
        <v>37</v>
      </c>
      <c r="B314" s="8" t="s">
        <v>38</v>
      </c>
      <c r="C314" s="9" t="str">
        <f t="shared" si="4"/>
        <v>230096</v>
      </c>
      <c r="D314" s="9" t="str">
        <f>"230911525"</f>
        <v>230911525</v>
      </c>
      <c r="E314" s="10">
        <v>0</v>
      </c>
      <c r="F314" s="10"/>
      <c r="G314" s="10">
        <v>0</v>
      </c>
      <c r="H314" s="10"/>
      <c r="I314" s="10">
        <v>0</v>
      </c>
    </row>
    <row r="315" spans="1:9" s="1" customFormat="1" ht="21.75" customHeight="1">
      <c r="A315" s="8" t="s">
        <v>37</v>
      </c>
      <c r="B315" s="8" t="s">
        <v>38</v>
      </c>
      <c r="C315" s="9" t="str">
        <f t="shared" si="4"/>
        <v>230096</v>
      </c>
      <c r="D315" s="9" t="str">
        <f>"230911607"</f>
        <v>230911607</v>
      </c>
      <c r="E315" s="10">
        <v>0</v>
      </c>
      <c r="F315" s="10"/>
      <c r="G315" s="10">
        <v>0</v>
      </c>
      <c r="H315" s="10"/>
      <c r="I315" s="10">
        <v>0</v>
      </c>
    </row>
    <row r="316" spans="1:9" ht="21.75" customHeight="1">
      <c r="A316" s="8" t="s">
        <v>37</v>
      </c>
      <c r="B316" s="8" t="s">
        <v>38</v>
      </c>
      <c r="C316" s="9" t="str">
        <f t="shared" si="4"/>
        <v>230096</v>
      </c>
      <c r="D316" s="9" t="str">
        <f>"230911609"</f>
        <v>230911609</v>
      </c>
      <c r="E316" s="10">
        <v>0</v>
      </c>
      <c r="F316" s="10"/>
      <c r="G316" s="10">
        <v>0</v>
      </c>
      <c r="H316" s="10"/>
      <c r="I316" s="10">
        <v>0</v>
      </c>
    </row>
    <row r="317" spans="1:9" s="1" customFormat="1" ht="21.75" customHeight="1">
      <c r="A317" s="8" t="s">
        <v>37</v>
      </c>
      <c r="B317" s="8" t="s">
        <v>38</v>
      </c>
      <c r="C317" s="9" t="str">
        <f t="shared" si="4"/>
        <v>230096</v>
      </c>
      <c r="D317" s="9" t="str">
        <f>"230911613"</f>
        <v>230911613</v>
      </c>
      <c r="E317" s="10">
        <v>0</v>
      </c>
      <c r="F317" s="10"/>
      <c r="G317" s="10">
        <v>0</v>
      </c>
      <c r="H317" s="10"/>
      <c r="I317" s="10">
        <v>0</v>
      </c>
    </row>
    <row r="318" spans="1:9" s="1" customFormat="1" ht="21.75" customHeight="1">
      <c r="A318" s="8" t="s">
        <v>37</v>
      </c>
      <c r="B318" s="8" t="s">
        <v>38</v>
      </c>
      <c r="C318" s="9" t="str">
        <f t="shared" si="4"/>
        <v>230096</v>
      </c>
      <c r="D318" s="9" t="str">
        <f>"230911615"</f>
        <v>230911615</v>
      </c>
      <c r="E318" s="10">
        <v>0</v>
      </c>
      <c r="F318" s="10"/>
      <c r="G318" s="10">
        <v>0</v>
      </c>
      <c r="H318" s="10"/>
      <c r="I318" s="10">
        <v>0</v>
      </c>
    </row>
    <row r="319" spans="1:9" ht="21.75" customHeight="1">
      <c r="A319" s="8" t="s">
        <v>37</v>
      </c>
      <c r="B319" s="8" t="s">
        <v>38</v>
      </c>
      <c r="C319" s="9" t="str">
        <f t="shared" si="4"/>
        <v>230096</v>
      </c>
      <c r="D319" s="9" t="str">
        <f>"230911619"</f>
        <v>230911619</v>
      </c>
      <c r="E319" s="10">
        <v>0</v>
      </c>
      <c r="F319" s="10"/>
      <c r="G319" s="10">
        <v>0</v>
      </c>
      <c r="H319" s="10"/>
      <c r="I319" s="10">
        <v>0</v>
      </c>
    </row>
    <row r="320" spans="1:9" ht="21.75" customHeight="1">
      <c r="A320" s="8" t="s">
        <v>37</v>
      </c>
      <c r="B320" s="8" t="s">
        <v>38</v>
      </c>
      <c r="C320" s="9" t="str">
        <f t="shared" si="4"/>
        <v>230096</v>
      </c>
      <c r="D320" s="9" t="str">
        <f>"230911620"</f>
        <v>230911620</v>
      </c>
      <c r="E320" s="10">
        <v>0</v>
      </c>
      <c r="F320" s="10"/>
      <c r="G320" s="10">
        <v>0</v>
      </c>
      <c r="H320" s="10"/>
      <c r="I320" s="10">
        <v>0</v>
      </c>
    </row>
    <row r="321" spans="1:9" ht="21.75" customHeight="1">
      <c r="A321" s="8" t="s">
        <v>37</v>
      </c>
      <c r="B321" s="8" t="s">
        <v>38</v>
      </c>
      <c r="C321" s="9" t="str">
        <f t="shared" si="4"/>
        <v>230096</v>
      </c>
      <c r="D321" s="9" t="str">
        <f>"230911622"</f>
        <v>230911622</v>
      </c>
      <c r="E321" s="10">
        <v>0</v>
      </c>
      <c r="F321" s="10"/>
      <c r="G321" s="10">
        <v>0</v>
      </c>
      <c r="H321" s="10"/>
      <c r="I321" s="10">
        <v>0</v>
      </c>
    </row>
    <row r="322" spans="1:9" ht="21.75" customHeight="1">
      <c r="A322" s="8" t="s">
        <v>37</v>
      </c>
      <c r="B322" s="8" t="s">
        <v>38</v>
      </c>
      <c r="C322" s="9" t="str">
        <f t="shared" si="4"/>
        <v>230096</v>
      </c>
      <c r="D322" s="9" t="str">
        <f>"230911625"</f>
        <v>230911625</v>
      </c>
      <c r="E322" s="10">
        <v>0</v>
      </c>
      <c r="F322" s="10"/>
      <c r="G322" s="10">
        <v>0</v>
      </c>
      <c r="H322" s="10"/>
      <c r="I322" s="10">
        <v>0</v>
      </c>
    </row>
    <row r="323" spans="1:9" ht="21.75" customHeight="1">
      <c r="A323" s="8" t="s">
        <v>37</v>
      </c>
      <c r="B323" s="8" t="s">
        <v>38</v>
      </c>
      <c r="C323" s="9" t="str">
        <f t="shared" ref="C323:C389" si="5">"230096"</f>
        <v>230096</v>
      </c>
      <c r="D323" s="9" t="str">
        <f>"230911701"</f>
        <v>230911701</v>
      </c>
      <c r="E323" s="10">
        <v>0</v>
      </c>
      <c r="F323" s="10"/>
      <c r="G323" s="10">
        <v>0</v>
      </c>
      <c r="H323" s="10"/>
      <c r="I323" s="10">
        <v>0</v>
      </c>
    </row>
    <row r="324" spans="1:9" ht="21.75" customHeight="1">
      <c r="A324" s="8" t="s">
        <v>37</v>
      </c>
      <c r="B324" s="8" t="s">
        <v>38</v>
      </c>
      <c r="C324" s="9" t="str">
        <f t="shared" si="5"/>
        <v>230096</v>
      </c>
      <c r="D324" s="9" t="str">
        <f>"230911711"</f>
        <v>230911711</v>
      </c>
      <c r="E324" s="10">
        <v>0</v>
      </c>
      <c r="F324" s="10"/>
      <c r="G324" s="10">
        <v>0</v>
      </c>
      <c r="H324" s="10"/>
      <c r="I324" s="10">
        <v>0</v>
      </c>
    </row>
    <row r="325" spans="1:9" ht="21.75" customHeight="1">
      <c r="A325" s="8" t="s">
        <v>37</v>
      </c>
      <c r="B325" s="8" t="s">
        <v>38</v>
      </c>
      <c r="C325" s="9" t="str">
        <f t="shared" si="5"/>
        <v>230096</v>
      </c>
      <c r="D325" s="9" t="str">
        <f>"230911712"</f>
        <v>230911712</v>
      </c>
      <c r="E325" s="10">
        <v>0</v>
      </c>
      <c r="F325" s="10"/>
      <c r="G325" s="10">
        <v>0</v>
      </c>
      <c r="H325" s="10"/>
      <c r="I325" s="10">
        <v>0</v>
      </c>
    </row>
    <row r="326" spans="1:9" ht="21.75" customHeight="1">
      <c r="A326" s="8" t="s">
        <v>37</v>
      </c>
      <c r="B326" s="8" t="s">
        <v>38</v>
      </c>
      <c r="C326" s="9" t="str">
        <f t="shared" si="5"/>
        <v>230096</v>
      </c>
      <c r="D326" s="9" t="str">
        <f>"230911718"</f>
        <v>230911718</v>
      </c>
      <c r="E326" s="10">
        <v>0</v>
      </c>
      <c r="F326" s="10"/>
      <c r="G326" s="10">
        <v>0</v>
      </c>
      <c r="H326" s="10"/>
      <c r="I326" s="10">
        <v>0</v>
      </c>
    </row>
    <row r="327" spans="1:9" ht="21.75" customHeight="1">
      <c r="A327" s="8" t="s">
        <v>37</v>
      </c>
      <c r="B327" s="8" t="s">
        <v>38</v>
      </c>
      <c r="C327" s="9" t="str">
        <f t="shared" si="5"/>
        <v>230096</v>
      </c>
      <c r="D327" s="9" t="str">
        <f>"230911724"</f>
        <v>230911724</v>
      </c>
      <c r="E327" s="10">
        <v>0</v>
      </c>
      <c r="F327" s="10"/>
      <c r="G327" s="10">
        <v>0</v>
      </c>
      <c r="H327" s="10"/>
      <c r="I327" s="10">
        <v>0</v>
      </c>
    </row>
    <row r="328" spans="1:9" ht="21.75" customHeight="1">
      <c r="A328" s="8" t="s">
        <v>37</v>
      </c>
      <c r="B328" s="8" t="s">
        <v>38</v>
      </c>
      <c r="C328" s="9" t="str">
        <f t="shared" si="5"/>
        <v>230096</v>
      </c>
      <c r="D328" s="9" t="str">
        <f>"230911726"</f>
        <v>230911726</v>
      </c>
      <c r="E328" s="10">
        <v>0</v>
      </c>
      <c r="F328" s="10"/>
      <c r="G328" s="10">
        <v>0</v>
      </c>
      <c r="H328" s="10"/>
      <c r="I328" s="10">
        <v>0</v>
      </c>
    </row>
    <row r="329" spans="1:9" ht="21.75" customHeight="1">
      <c r="A329" s="8" t="s">
        <v>37</v>
      </c>
      <c r="B329" s="8" t="s">
        <v>38</v>
      </c>
      <c r="C329" s="9" t="str">
        <f t="shared" si="5"/>
        <v>230096</v>
      </c>
      <c r="D329" s="9" t="str">
        <f>"230911805"</f>
        <v>230911805</v>
      </c>
      <c r="E329" s="10">
        <v>0</v>
      </c>
      <c r="F329" s="10"/>
      <c r="G329" s="10">
        <v>0</v>
      </c>
      <c r="H329" s="10"/>
      <c r="I329" s="10">
        <v>0</v>
      </c>
    </row>
    <row r="330" spans="1:9" ht="21.75" customHeight="1">
      <c r="A330" s="8" t="s">
        <v>37</v>
      </c>
      <c r="B330" s="8" t="s">
        <v>38</v>
      </c>
      <c r="C330" s="9" t="str">
        <f t="shared" si="5"/>
        <v>230096</v>
      </c>
      <c r="D330" s="9" t="str">
        <f>"230911808"</f>
        <v>230911808</v>
      </c>
      <c r="E330" s="10">
        <v>0</v>
      </c>
      <c r="F330" s="10"/>
      <c r="G330" s="10">
        <v>0</v>
      </c>
      <c r="H330" s="10"/>
      <c r="I330" s="10">
        <v>0</v>
      </c>
    </row>
    <row r="331" spans="1:9" ht="21.75" customHeight="1">
      <c r="A331" s="8" t="s">
        <v>37</v>
      </c>
      <c r="B331" s="8" t="s">
        <v>38</v>
      </c>
      <c r="C331" s="9" t="str">
        <f t="shared" si="5"/>
        <v>230096</v>
      </c>
      <c r="D331" s="9" t="str">
        <f>"230911819"</f>
        <v>230911819</v>
      </c>
      <c r="E331" s="10">
        <v>0</v>
      </c>
      <c r="F331" s="10"/>
      <c r="G331" s="10">
        <v>0</v>
      </c>
      <c r="H331" s="10"/>
      <c r="I331" s="10">
        <v>0</v>
      </c>
    </row>
    <row r="332" spans="1:9" s="1" customFormat="1" ht="21.75" customHeight="1">
      <c r="A332" s="8" t="s">
        <v>37</v>
      </c>
      <c r="B332" s="8" t="s">
        <v>38</v>
      </c>
      <c r="C332" s="9" t="str">
        <f t="shared" si="5"/>
        <v>230096</v>
      </c>
      <c r="D332" s="9" t="str">
        <f>"230911825"</f>
        <v>230911825</v>
      </c>
      <c r="E332" s="10">
        <v>0</v>
      </c>
      <c r="F332" s="10"/>
      <c r="G332" s="10">
        <v>0</v>
      </c>
      <c r="H332" s="10"/>
      <c r="I332" s="10">
        <v>0</v>
      </c>
    </row>
    <row r="333" spans="1:9" s="1" customFormat="1" ht="21.75" customHeight="1">
      <c r="A333" s="8" t="s">
        <v>37</v>
      </c>
      <c r="B333" s="8" t="s">
        <v>38</v>
      </c>
      <c r="C333" s="9" t="str">
        <f t="shared" si="5"/>
        <v>230096</v>
      </c>
      <c r="D333" s="9" t="str">
        <f>"230911826"</f>
        <v>230911826</v>
      </c>
      <c r="E333" s="10">
        <v>0</v>
      </c>
      <c r="F333" s="10"/>
      <c r="G333" s="10">
        <v>0</v>
      </c>
      <c r="H333" s="10"/>
      <c r="I333" s="10">
        <v>0</v>
      </c>
    </row>
    <row r="334" spans="1:9" ht="21.75" customHeight="1">
      <c r="A334" s="8" t="s">
        <v>37</v>
      </c>
      <c r="B334" s="8" t="s">
        <v>38</v>
      </c>
      <c r="C334" s="9" t="str">
        <f t="shared" si="5"/>
        <v>230096</v>
      </c>
      <c r="D334" s="9" t="str">
        <f>"230911903"</f>
        <v>230911903</v>
      </c>
      <c r="E334" s="10">
        <v>0</v>
      </c>
      <c r="F334" s="10"/>
      <c r="G334" s="10">
        <v>0</v>
      </c>
      <c r="H334" s="10"/>
      <c r="I334" s="10">
        <v>0</v>
      </c>
    </row>
    <row r="335" spans="1:9" ht="21.75" customHeight="1">
      <c r="A335" s="8" t="s">
        <v>37</v>
      </c>
      <c r="B335" s="8" t="s">
        <v>38</v>
      </c>
      <c r="C335" s="9" t="str">
        <f t="shared" si="5"/>
        <v>230096</v>
      </c>
      <c r="D335" s="9" t="str">
        <f>"230911911"</f>
        <v>230911911</v>
      </c>
      <c r="E335" s="10">
        <v>0</v>
      </c>
      <c r="F335" s="10"/>
      <c r="G335" s="10">
        <v>0</v>
      </c>
      <c r="H335" s="10"/>
      <c r="I335" s="10">
        <v>0</v>
      </c>
    </row>
    <row r="336" spans="1:9" ht="21.75" customHeight="1">
      <c r="A336" s="8" t="s">
        <v>37</v>
      </c>
      <c r="B336" s="8" t="s">
        <v>38</v>
      </c>
      <c r="C336" s="9" t="str">
        <f t="shared" si="5"/>
        <v>230096</v>
      </c>
      <c r="D336" s="9" t="str">
        <f>"230911913"</f>
        <v>230911913</v>
      </c>
      <c r="E336" s="10">
        <v>0</v>
      </c>
      <c r="F336" s="10"/>
      <c r="G336" s="10">
        <v>0</v>
      </c>
      <c r="H336" s="10"/>
      <c r="I336" s="10">
        <v>0</v>
      </c>
    </row>
    <row r="337" spans="1:9" ht="21.75" customHeight="1">
      <c r="A337" s="8" t="s">
        <v>37</v>
      </c>
      <c r="B337" s="8" t="s">
        <v>38</v>
      </c>
      <c r="C337" s="9" t="str">
        <f t="shared" si="5"/>
        <v>230096</v>
      </c>
      <c r="D337" s="9" t="str">
        <f>"230911914"</f>
        <v>230911914</v>
      </c>
      <c r="E337" s="10">
        <v>0</v>
      </c>
      <c r="F337" s="10"/>
      <c r="G337" s="10">
        <v>0</v>
      </c>
      <c r="H337" s="10"/>
      <c r="I337" s="10">
        <v>0</v>
      </c>
    </row>
    <row r="338" spans="1:9" s="1" customFormat="1" ht="21.75" customHeight="1">
      <c r="A338" s="8" t="s">
        <v>37</v>
      </c>
      <c r="B338" s="8" t="s">
        <v>38</v>
      </c>
      <c r="C338" s="9" t="str">
        <f t="shared" si="5"/>
        <v>230096</v>
      </c>
      <c r="D338" s="9" t="str">
        <f>"230911915"</f>
        <v>230911915</v>
      </c>
      <c r="E338" s="10">
        <v>0</v>
      </c>
      <c r="F338" s="10"/>
      <c r="G338" s="10">
        <v>0</v>
      </c>
      <c r="H338" s="10"/>
      <c r="I338" s="10">
        <v>0</v>
      </c>
    </row>
    <row r="339" spans="1:9" s="1" customFormat="1" ht="21.75" customHeight="1">
      <c r="A339" s="8" t="s">
        <v>37</v>
      </c>
      <c r="B339" s="8" t="s">
        <v>38</v>
      </c>
      <c r="C339" s="9" t="str">
        <f t="shared" si="5"/>
        <v>230096</v>
      </c>
      <c r="D339" s="9" t="str">
        <f>"230911917"</f>
        <v>230911917</v>
      </c>
      <c r="E339" s="10">
        <v>0</v>
      </c>
      <c r="F339" s="10"/>
      <c r="G339" s="10">
        <v>0</v>
      </c>
      <c r="H339" s="10"/>
      <c r="I339" s="10">
        <v>0</v>
      </c>
    </row>
    <row r="340" spans="1:9" s="1" customFormat="1" ht="21.75" customHeight="1">
      <c r="A340" s="8" t="s">
        <v>37</v>
      </c>
      <c r="B340" s="8" t="s">
        <v>38</v>
      </c>
      <c r="C340" s="9" t="str">
        <f t="shared" si="5"/>
        <v>230096</v>
      </c>
      <c r="D340" s="9" t="str">
        <f>"230911921"</f>
        <v>230911921</v>
      </c>
      <c r="E340" s="10">
        <v>0</v>
      </c>
      <c r="F340" s="10"/>
      <c r="G340" s="10">
        <v>0</v>
      </c>
      <c r="H340" s="10"/>
      <c r="I340" s="10">
        <v>0</v>
      </c>
    </row>
    <row r="341" spans="1:9" s="1" customFormat="1" ht="21.75" customHeight="1">
      <c r="A341" s="8" t="s">
        <v>37</v>
      </c>
      <c r="B341" s="8" t="s">
        <v>38</v>
      </c>
      <c r="C341" s="9" t="str">
        <f t="shared" si="5"/>
        <v>230096</v>
      </c>
      <c r="D341" s="9" t="str">
        <f>"230911925"</f>
        <v>230911925</v>
      </c>
      <c r="E341" s="10">
        <v>0</v>
      </c>
      <c r="F341" s="10"/>
      <c r="G341" s="10">
        <v>0</v>
      </c>
      <c r="H341" s="10"/>
      <c r="I341" s="10">
        <v>0</v>
      </c>
    </row>
    <row r="342" spans="1:9" ht="21.75" customHeight="1">
      <c r="A342" s="8" t="s">
        <v>37</v>
      </c>
      <c r="B342" s="8" t="s">
        <v>38</v>
      </c>
      <c r="C342" s="9" t="str">
        <f t="shared" si="5"/>
        <v>230096</v>
      </c>
      <c r="D342" s="9" t="str">
        <f>"230911929"</f>
        <v>230911929</v>
      </c>
      <c r="E342" s="10">
        <v>0</v>
      </c>
      <c r="F342" s="10"/>
      <c r="G342" s="10">
        <v>0</v>
      </c>
      <c r="H342" s="10"/>
      <c r="I342" s="10">
        <v>0</v>
      </c>
    </row>
    <row r="343" spans="1:9" ht="21.75" customHeight="1">
      <c r="A343" s="8" t="s">
        <v>37</v>
      </c>
      <c r="B343" s="8" t="s">
        <v>38</v>
      </c>
      <c r="C343" s="9" t="str">
        <f t="shared" si="5"/>
        <v>230096</v>
      </c>
      <c r="D343" s="9" t="str">
        <f>"230912004"</f>
        <v>230912004</v>
      </c>
      <c r="E343" s="10">
        <v>0</v>
      </c>
      <c r="F343" s="10"/>
      <c r="G343" s="10">
        <v>0</v>
      </c>
      <c r="H343" s="10"/>
      <c r="I343" s="10">
        <v>0</v>
      </c>
    </row>
    <row r="344" spans="1:9" s="1" customFormat="1" ht="21.75" customHeight="1">
      <c r="A344" s="8" t="s">
        <v>37</v>
      </c>
      <c r="B344" s="8" t="s">
        <v>38</v>
      </c>
      <c r="C344" s="9" t="str">
        <f t="shared" si="5"/>
        <v>230096</v>
      </c>
      <c r="D344" s="9" t="str">
        <f>"230912011"</f>
        <v>230912011</v>
      </c>
      <c r="E344" s="10">
        <v>0</v>
      </c>
      <c r="F344" s="10"/>
      <c r="G344" s="10">
        <v>0</v>
      </c>
      <c r="H344" s="10"/>
      <c r="I344" s="10">
        <v>0</v>
      </c>
    </row>
    <row r="345" spans="1:9" s="1" customFormat="1" ht="21.75" customHeight="1">
      <c r="A345" s="8" t="s">
        <v>37</v>
      </c>
      <c r="B345" s="8" t="s">
        <v>38</v>
      </c>
      <c r="C345" s="9" t="str">
        <f t="shared" si="5"/>
        <v>230096</v>
      </c>
      <c r="D345" s="9" t="str">
        <f>"230912015"</f>
        <v>230912015</v>
      </c>
      <c r="E345" s="10">
        <v>0</v>
      </c>
      <c r="F345" s="10"/>
      <c r="G345" s="10">
        <v>0</v>
      </c>
      <c r="H345" s="10"/>
      <c r="I345" s="10">
        <v>0</v>
      </c>
    </row>
    <row r="346" spans="1:9" ht="21.75" customHeight="1">
      <c r="A346" s="8" t="s">
        <v>37</v>
      </c>
      <c r="B346" s="8" t="s">
        <v>38</v>
      </c>
      <c r="C346" s="9" t="str">
        <f t="shared" si="5"/>
        <v>230096</v>
      </c>
      <c r="D346" s="9" t="str">
        <f>"230912017"</f>
        <v>230912017</v>
      </c>
      <c r="E346" s="10">
        <v>0</v>
      </c>
      <c r="F346" s="10"/>
      <c r="G346" s="10">
        <v>0</v>
      </c>
      <c r="H346" s="10"/>
      <c r="I346" s="10">
        <v>0</v>
      </c>
    </row>
    <row r="347" spans="1:9" ht="21.75" customHeight="1">
      <c r="A347" s="8" t="s">
        <v>37</v>
      </c>
      <c r="B347" s="8" t="s">
        <v>38</v>
      </c>
      <c r="C347" s="9" t="str">
        <f t="shared" si="5"/>
        <v>230096</v>
      </c>
      <c r="D347" s="9" t="str">
        <f>"230912019"</f>
        <v>230912019</v>
      </c>
      <c r="E347" s="10">
        <v>0</v>
      </c>
      <c r="F347" s="10"/>
      <c r="G347" s="10">
        <v>0</v>
      </c>
      <c r="H347" s="10"/>
      <c r="I347" s="10">
        <v>0</v>
      </c>
    </row>
    <row r="348" spans="1:9" ht="21.75" customHeight="1">
      <c r="A348" s="8" t="s">
        <v>37</v>
      </c>
      <c r="B348" s="8" t="s">
        <v>38</v>
      </c>
      <c r="C348" s="9" t="str">
        <f t="shared" si="5"/>
        <v>230096</v>
      </c>
      <c r="D348" s="9" t="str">
        <f>"230912020"</f>
        <v>230912020</v>
      </c>
      <c r="E348" s="10">
        <v>0</v>
      </c>
      <c r="F348" s="10"/>
      <c r="G348" s="10">
        <v>0</v>
      </c>
      <c r="H348" s="10"/>
      <c r="I348" s="10">
        <v>0</v>
      </c>
    </row>
    <row r="349" spans="1:9" ht="21.75" customHeight="1">
      <c r="A349" s="8" t="s">
        <v>37</v>
      </c>
      <c r="B349" s="8" t="s">
        <v>38</v>
      </c>
      <c r="C349" s="9" t="str">
        <f t="shared" si="5"/>
        <v>230096</v>
      </c>
      <c r="D349" s="9" t="str">
        <f>"230912023"</f>
        <v>230912023</v>
      </c>
      <c r="E349" s="10">
        <v>0</v>
      </c>
      <c r="F349" s="10"/>
      <c r="G349" s="10">
        <v>0</v>
      </c>
      <c r="H349" s="10"/>
      <c r="I349" s="10">
        <v>0</v>
      </c>
    </row>
    <row r="350" spans="1:9" ht="21.75" customHeight="1">
      <c r="A350" s="8" t="s">
        <v>37</v>
      </c>
      <c r="B350" s="8" t="s">
        <v>38</v>
      </c>
      <c r="C350" s="9" t="str">
        <f t="shared" si="5"/>
        <v>230096</v>
      </c>
      <c r="D350" s="9" t="str">
        <f>"230912025"</f>
        <v>230912025</v>
      </c>
      <c r="E350" s="10">
        <v>0</v>
      </c>
      <c r="F350" s="10"/>
      <c r="G350" s="10">
        <v>0</v>
      </c>
      <c r="H350" s="10"/>
      <c r="I350" s="10">
        <v>0</v>
      </c>
    </row>
    <row r="351" spans="1:9" s="1" customFormat="1" ht="21.75" customHeight="1">
      <c r="A351" s="8" t="s">
        <v>37</v>
      </c>
      <c r="B351" s="8" t="s">
        <v>38</v>
      </c>
      <c r="C351" s="9" t="str">
        <f t="shared" si="5"/>
        <v>230096</v>
      </c>
      <c r="D351" s="9" t="str">
        <f>"230912030"</f>
        <v>230912030</v>
      </c>
      <c r="E351" s="10">
        <v>0</v>
      </c>
      <c r="F351" s="10"/>
      <c r="G351" s="10">
        <v>0</v>
      </c>
      <c r="H351" s="10"/>
      <c r="I351" s="10">
        <v>0</v>
      </c>
    </row>
    <row r="352" spans="1:9" ht="21.75" customHeight="1">
      <c r="A352" s="8" t="s">
        <v>37</v>
      </c>
      <c r="B352" s="8" t="s">
        <v>38</v>
      </c>
      <c r="C352" s="9" t="str">
        <f t="shared" si="5"/>
        <v>230096</v>
      </c>
      <c r="D352" s="9" t="str">
        <f>"230912104"</f>
        <v>230912104</v>
      </c>
      <c r="E352" s="10">
        <v>0</v>
      </c>
      <c r="F352" s="10"/>
      <c r="G352" s="10">
        <v>0</v>
      </c>
      <c r="H352" s="10"/>
      <c r="I352" s="10">
        <v>0</v>
      </c>
    </row>
    <row r="353" spans="1:9" ht="21.75" customHeight="1">
      <c r="A353" s="8" t="s">
        <v>37</v>
      </c>
      <c r="B353" s="8" t="s">
        <v>38</v>
      </c>
      <c r="C353" s="9" t="str">
        <f t="shared" si="5"/>
        <v>230096</v>
      </c>
      <c r="D353" s="9" t="str">
        <f>"230912105"</f>
        <v>230912105</v>
      </c>
      <c r="E353" s="10">
        <v>0</v>
      </c>
      <c r="F353" s="10"/>
      <c r="G353" s="10">
        <v>0</v>
      </c>
      <c r="H353" s="10"/>
      <c r="I353" s="10">
        <v>0</v>
      </c>
    </row>
    <row r="354" spans="1:9" ht="21.75" customHeight="1">
      <c r="A354" s="8" t="s">
        <v>37</v>
      </c>
      <c r="B354" s="8" t="s">
        <v>38</v>
      </c>
      <c r="C354" s="9" t="str">
        <f t="shared" si="5"/>
        <v>230096</v>
      </c>
      <c r="D354" s="9" t="str">
        <f>"230912107"</f>
        <v>230912107</v>
      </c>
      <c r="E354" s="10">
        <v>0</v>
      </c>
      <c r="F354" s="10"/>
      <c r="G354" s="10">
        <v>0</v>
      </c>
      <c r="H354" s="10"/>
      <c r="I354" s="10">
        <v>0</v>
      </c>
    </row>
    <row r="355" spans="1:9" ht="21.75" customHeight="1">
      <c r="A355" s="8" t="s">
        <v>37</v>
      </c>
      <c r="B355" s="8" t="s">
        <v>38</v>
      </c>
      <c r="C355" s="9" t="str">
        <f t="shared" si="5"/>
        <v>230096</v>
      </c>
      <c r="D355" s="9" t="str">
        <f>"230912108"</f>
        <v>230912108</v>
      </c>
      <c r="E355" s="10">
        <v>0</v>
      </c>
      <c r="F355" s="10"/>
      <c r="G355" s="10">
        <v>0</v>
      </c>
      <c r="H355" s="10"/>
      <c r="I355" s="10">
        <v>0</v>
      </c>
    </row>
    <row r="356" spans="1:9" ht="21.75" customHeight="1">
      <c r="A356" s="8" t="s">
        <v>37</v>
      </c>
      <c r="B356" s="8" t="s">
        <v>38</v>
      </c>
      <c r="C356" s="9" t="str">
        <f t="shared" si="5"/>
        <v>230096</v>
      </c>
      <c r="D356" s="9" t="str">
        <f>"230912114"</f>
        <v>230912114</v>
      </c>
      <c r="E356" s="10">
        <v>0</v>
      </c>
      <c r="F356" s="10"/>
      <c r="G356" s="10">
        <v>0</v>
      </c>
      <c r="H356" s="10"/>
      <c r="I356" s="10">
        <v>0</v>
      </c>
    </row>
    <row r="357" spans="1:9" s="1" customFormat="1" ht="21.75" customHeight="1">
      <c r="A357" s="8" t="s">
        <v>37</v>
      </c>
      <c r="B357" s="8" t="s">
        <v>38</v>
      </c>
      <c r="C357" s="9" t="str">
        <f t="shared" si="5"/>
        <v>230096</v>
      </c>
      <c r="D357" s="9" t="str">
        <f>"230912121"</f>
        <v>230912121</v>
      </c>
      <c r="E357" s="10">
        <v>0</v>
      </c>
      <c r="F357" s="10"/>
      <c r="G357" s="10">
        <v>0</v>
      </c>
      <c r="H357" s="10"/>
      <c r="I357" s="10">
        <v>0</v>
      </c>
    </row>
    <row r="358" spans="1:9" ht="21.75" customHeight="1">
      <c r="A358" s="8" t="s">
        <v>37</v>
      </c>
      <c r="B358" s="8" t="s">
        <v>38</v>
      </c>
      <c r="C358" s="9" t="str">
        <f t="shared" si="5"/>
        <v>230096</v>
      </c>
      <c r="D358" s="9" t="str">
        <f>"230912128"</f>
        <v>230912128</v>
      </c>
      <c r="E358" s="10">
        <v>0</v>
      </c>
      <c r="F358" s="10"/>
      <c r="G358" s="10">
        <v>0</v>
      </c>
      <c r="H358" s="10"/>
      <c r="I358" s="10">
        <v>0</v>
      </c>
    </row>
    <row r="359" spans="1:9" ht="21.75" customHeight="1">
      <c r="A359" s="8" t="s">
        <v>37</v>
      </c>
      <c r="B359" s="8" t="s">
        <v>38</v>
      </c>
      <c r="C359" s="9" t="str">
        <f t="shared" si="5"/>
        <v>230096</v>
      </c>
      <c r="D359" s="9" t="str">
        <f>"230912202"</f>
        <v>230912202</v>
      </c>
      <c r="E359" s="10">
        <v>0</v>
      </c>
      <c r="F359" s="10"/>
      <c r="G359" s="10">
        <v>0</v>
      </c>
      <c r="H359" s="10"/>
      <c r="I359" s="10">
        <v>0</v>
      </c>
    </row>
    <row r="360" spans="1:9" ht="21.75" customHeight="1">
      <c r="A360" s="8" t="s">
        <v>37</v>
      </c>
      <c r="B360" s="8" t="s">
        <v>38</v>
      </c>
      <c r="C360" s="9" t="str">
        <f t="shared" si="5"/>
        <v>230096</v>
      </c>
      <c r="D360" s="9" t="str">
        <f>"230912210"</f>
        <v>230912210</v>
      </c>
      <c r="E360" s="10">
        <v>0</v>
      </c>
      <c r="F360" s="10"/>
      <c r="G360" s="10">
        <v>0</v>
      </c>
      <c r="H360" s="10"/>
      <c r="I360" s="10">
        <v>0</v>
      </c>
    </row>
    <row r="361" spans="1:9" ht="21.75" customHeight="1">
      <c r="A361" s="8" t="s">
        <v>37</v>
      </c>
      <c r="B361" s="8" t="s">
        <v>38</v>
      </c>
      <c r="C361" s="9" t="str">
        <f t="shared" si="5"/>
        <v>230096</v>
      </c>
      <c r="D361" s="9" t="str">
        <f>"230912212"</f>
        <v>230912212</v>
      </c>
      <c r="E361" s="10">
        <v>0</v>
      </c>
      <c r="F361" s="10"/>
      <c r="G361" s="10">
        <v>0</v>
      </c>
      <c r="H361" s="10"/>
      <c r="I361" s="10">
        <v>0</v>
      </c>
    </row>
    <row r="362" spans="1:9" ht="21.75" customHeight="1">
      <c r="A362" s="8" t="s">
        <v>37</v>
      </c>
      <c r="B362" s="8" t="s">
        <v>38</v>
      </c>
      <c r="C362" s="9" t="str">
        <f t="shared" si="5"/>
        <v>230096</v>
      </c>
      <c r="D362" s="9" t="str">
        <f>"230912215"</f>
        <v>230912215</v>
      </c>
      <c r="E362" s="10">
        <v>0</v>
      </c>
      <c r="F362" s="10"/>
      <c r="G362" s="10">
        <v>0</v>
      </c>
      <c r="H362" s="10"/>
      <c r="I362" s="10">
        <v>0</v>
      </c>
    </row>
    <row r="363" spans="1:9" ht="21.75" customHeight="1">
      <c r="A363" s="8" t="s">
        <v>37</v>
      </c>
      <c r="B363" s="8" t="s">
        <v>38</v>
      </c>
      <c r="C363" s="9" t="str">
        <f t="shared" si="5"/>
        <v>230096</v>
      </c>
      <c r="D363" s="9" t="str">
        <f>"230912223"</f>
        <v>230912223</v>
      </c>
      <c r="E363" s="10">
        <v>0</v>
      </c>
      <c r="F363" s="10"/>
      <c r="G363" s="10">
        <v>0</v>
      </c>
      <c r="H363" s="10"/>
      <c r="I363" s="10">
        <v>0</v>
      </c>
    </row>
    <row r="364" spans="1:9" ht="21.75" customHeight="1">
      <c r="A364" s="8" t="s">
        <v>37</v>
      </c>
      <c r="B364" s="8" t="s">
        <v>38</v>
      </c>
      <c r="C364" s="9" t="str">
        <f t="shared" si="5"/>
        <v>230096</v>
      </c>
      <c r="D364" s="9" t="str">
        <f>"230912227"</f>
        <v>230912227</v>
      </c>
      <c r="E364" s="10">
        <v>0</v>
      </c>
      <c r="F364" s="10"/>
      <c r="G364" s="10">
        <v>0</v>
      </c>
      <c r="H364" s="10"/>
      <c r="I364" s="10">
        <v>0</v>
      </c>
    </row>
    <row r="365" spans="1:9" ht="21.75" customHeight="1">
      <c r="A365" s="8" t="s">
        <v>37</v>
      </c>
      <c r="B365" s="8" t="s">
        <v>38</v>
      </c>
      <c r="C365" s="9" t="str">
        <f t="shared" si="5"/>
        <v>230096</v>
      </c>
      <c r="D365" s="9" t="str">
        <f>"230912306"</f>
        <v>230912306</v>
      </c>
      <c r="E365" s="10">
        <v>0</v>
      </c>
      <c r="F365" s="10"/>
      <c r="G365" s="10">
        <v>0</v>
      </c>
      <c r="H365" s="10"/>
      <c r="I365" s="10">
        <v>0</v>
      </c>
    </row>
    <row r="366" spans="1:9" ht="21.75" customHeight="1">
      <c r="A366" s="8" t="s">
        <v>37</v>
      </c>
      <c r="B366" s="8" t="s">
        <v>38</v>
      </c>
      <c r="C366" s="9" t="str">
        <f t="shared" si="5"/>
        <v>230096</v>
      </c>
      <c r="D366" s="9" t="str">
        <f>"230912308"</f>
        <v>230912308</v>
      </c>
      <c r="E366" s="10">
        <v>0</v>
      </c>
      <c r="F366" s="10"/>
      <c r="G366" s="10">
        <v>0</v>
      </c>
      <c r="H366" s="10"/>
      <c r="I366" s="10">
        <v>0</v>
      </c>
    </row>
    <row r="367" spans="1:9" ht="21.75" customHeight="1">
      <c r="A367" s="8" t="s">
        <v>37</v>
      </c>
      <c r="B367" s="8" t="s">
        <v>38</v>
      </c>
      <c r="C367" s="9" t="str">
        <f t="shared" si="5"/>
        <v>230096</v>
      </c>
      <c r="D367" s="9" t="str">
        <f>"230912309"</f>
        <v>230912309</v>
      </c>
      <c r="E367" s="10">
        <v>0</v>
      </c>
      <c r="F367" s="10"/>
      <c r="G367" s="10">
        <v>0</v>
      </c>
      <c r="H367" s="10"/>
      <c r="I367" s="10">
        <v>0</v>
      </c>
    </row>
    <row r="368" spans="1:9" ht="21.75" customHeight="1">
      <c r="A368" s="8" t="s">
        <v>37</v>
      </c>
      <c r="B368" s="8" t="s">
        <v>38</v>
      </c>
      <c r="C368" s="9" t="str">
        <f t="shared" si="5"/>
        <v>230096</v>
      </c>
      <c r="D368" s="9" t="str">
        <f>"230912311"</f>
        <v>230912311</v>
      </c>
      <c r="E368" s="10">
        <v>0</v>
      </c>
      <c r="F368" s="10"/>
      <c r="G368" s="10">
        <v>0</v>
      </c>
      <c r="H368" s="10"/>
      <c r="I368" s="10">
        <v>0</v>
      </c>
    </row>
    <row r="369" spans="1:9" ht="21.75" customHeight="1">
      <c r="A369" s="8" t="s">
        <v>37</v>
      </c>
      <c r="B369" s="8" t="s">
        <v>38</v>
      </c>
      <c r="C369" s="9" t="str">
        <f t="shared" si="5"/>
        <v>230096</v>
      </c>
      <c r="D369" s="9" t="str">
        <f>"230912314"</f>
        <v>230912314</v>
      </c>
      <c r="E369" s="10">
        <v>0</v>
      </c>
      <c r="F369" s="10"/>
      <c r="G369" s="10">
        <v>0</v>
      </c>
      <c r="H369" s="10"/>
      <c r="I369" s="10">
        <v>0</v>
      </c>
    </row>
    <row r="370" spans="1:9" s="1" customFormat="1" ht="21.75" customHeight="1">
      <c r="A370" s="8" t="s">
        <v>37</v>
      </c>
      <c r="B370" s="8" t="s">
        <v>38</v>
      </c>
      <c r="C370" s="9" t="str">
        <f t="shared" si="5"/>
        <v>230096</v>
      </c>
      <c r="D370" s="9" t="str">
        <f>"230912325"</f>
        <v>230912325</v>
      </c>
      <c r="E370" s="10">
        <v>0</v>
      </c>
      <c r="F370" s="10"/>
      <c r="G370" s="10">
        <v>0</v>
      </c>
      <c r="H370" s="10"/>
      <c r="I370" s="10">
        <v>0</v>
      </c>
    </row>
    <row r="371" spans="1:9" s="1" customFormat="1" ht="21.75" customHeight="1">
      <c r="A371" s="8" t="s">
        <v>37</v>
      </c>
      <c r="B371" s="8" t="s">
        <v>38</v>
      </c>
      <c r="C371" s="9" t="str">
        <f t="shared" si="5"/>
        <v>230096</v>
      </c>
      <c r="D371" s="9" t="str">
        <f>"230912326"</f>
        <v>230912326</v>
      </c>
      <c r="E371" s="10">
        <v>0</v>
      </c>
      <c r="F371" s="10"/>
      <c r="G371" s="10">
        <v>0</v>
      </c>
      <c r="H371" s="10"/>
      <c r="I371" s="10">
        <v>0</v>
      </c>
    </row>
    <row r="372" spans="1:9" ht="21.75" customHeight="1">
      <c r="A372" s="8" t="s">
        <v>37</v>
      </c>
      <c r="B372" s="8" t="s">
        <v>38</v>
      </c>
      <c r="C372" s="9" t="str">
        <f t="shared" si="5"/>
        <v>230096</v>
      </c>
      <c r="D372" s="9" t="str">
        <f>"230912401"</f>
        <v>230912401</v>
      </c>
      <c r="E372" s="10">
        <v>0</v>
      </c>
      <c r="F372" s="10"/>
      <c r="G372" s="10">
        <v>0</v>
      </c>
      <c r="H372" s="10"/>
      <c r="I372" s="10">
        <v>0</v>
      </c>
    </row>
    <row r="373" spans="1:9" ht="21.75" customHeight="1">
      <c r="A373" s="8" t="s">
        <v>37</v>
      </c>
      <c r="B373" s="8" t="s">
        <v>38</v>
      </c>
      <c r="C373" s="9" t="str">
        <f t="shared" si="5"/>
        <v>230096</v>
      </c>
      <c r="D373" s="9" t="str">
        <f>"230912403"</f>
        <v>230912403</v>
      </c>
      <c r="E373" s="10">
        <v>0</v>
      </c>
      <c r="F373" s="10"/>
      <c r="G373" s="10">
        <v>0</v>
      </c>
      <c r="H373" s="10"/>
      <c r="I373" s="10">
        <v>0</v>
      </c>
    </row>
    <row r="374" spans="1:9" ht="21.75" customHeight="1">
      <c r="A374" s="8" t="s">
        <v>37</v>
      </c>
      <c r="B374" s="8" t="s">
        <v>38</v>
      </c>
      <c r="C374" s="9" t="str">
        <f t="shared" si="5"/>
        <v>230096</v>
      </c>
      <c r="D374" s="9" t="str">
        <f>"230912405"</f>
        <v>230912405</v>
      </c>
      <c r="E374" s="10">
        <v>0</v>
      </c>
      <c r="F374" s="10"/>
      <c r="G374" s="10">
        <v>0</v>
      </c>
      <c r="H374" s="10"/>
      <c r="I374" s="10">
        <v>0</v>
      </c>
    </row>
    <row r="375" spans="1:9" s="1" customFormat="1" ht="21.75" customHeight="1">
      <c r="A375" s="8" t="s">
        <v>37</v>
      </c>
      <c r="B375" s="8" t="s">
        <v>38</v>
      </c>
      <c r="C375" s="9" t="str">
        <f t="shared" si="5"/>
        <v>230096</v>
      </c>
      <c r="D375" s="9" t="str">
        <f>"230912407"</f>
        <v>230912407</v>
      </c>
      <c r="E375" s="10">
        <v>0</v>
      </c>
      <c r="F375" s="10"/>
      <c r="G375" s="10">
        <v>0</v>
      </c>
      <c r="H375" s="10"/>
      <c r="I375" s="10">
        <v>0</v>
      </c>
    </row>
    <row r="376" spans="1:9" s="1" customFormat="1" ht="21.75" customHeight="1">
      <c r="A376" s="8" t="s">
        <v>37</v>
      </c>
      <c r="B376" s="8" t="s">
        <v>38</v>
      </c>
      <c r="C376" s="9" t="str">
        <f t="shared" si="5"/>
        <v>230096</v>
      </c>
      <c r="D376" s="9" t="str">
        <f>"230912409"</f>
        <v>230912409</v>
      </c>
      <c r="E376" s="10">
        <v>0</v>
      </c>
      <c r="F376" s="10"/>
      <c r="G376" s="10">
        <v>0</v>
      </c>
      <c r="H376" s="10"/>
      <c r="I376" s="10">
        <v>0</v>
      </c>
    </row>
    <row r="377" spans="1:9" ht="21.75" customHeight="1">
      <c r="A377" s="8" t="s">
        <v>37</v>
      </c>
      <c r="B377" s="8" t="s">
        <v>38</v>
      </c>
      <c r="C377" s="9" t="str">
        <f t="shared" si="5"/>
        <v>230096</v>
      </c>
      <c r="D377" s="9" t="str">
        <f>"230912415"</f>
        <v>230912415</v>
      </c>
      <c r="E377" s="10">
        <v>0</v>
      </c>
      <c r="F377" s="10"/>
      <c r="G377" s="10">
        <v>0</v>
      </c>
      <c r="H377" s="10"/>
      <c r="I377" s="10">
        <v>0</v>
      </c>
    </row>
    <row r="378" spans="1:9" ht="21.75" customHeight="1">
      <c r="A378" s="8" t="s">
        <v>37</v>
      </c>
      <c r="B378" s="8" t="s">
        <v>38</v>
      </c>
      <c r="C378" s="9" t="str">
        <f t="shared" si="5"/>
        <v>230096</v>
      </c>
      <c r="D378" s="9" t="str">
        <f>"230912417"</f>
        <v>230912417</v>
      </c>
      <c r="E378" s="10">
        <v>0</v>
      </c>
      <c r="F378" s="10"/>
      <c r="G378" s="10">
        <v>0</v>
      </c>
      <c r="H378" s="10"/>
      <c r="I378" s="10">
        <v>0</v>
      </c>
    </row>
    <row r="379" spans="1:9" ht="21.75" customHeight="1">
      <c r="A379" s="8" t="s">
        <v>37</v>
      </c>
      <c r="B379" s="8" t="s">
        <v>38</v>
      </c>
      <c r="C379" s="9" t="str">
        <f t="shared" si="5"/>
        <v>230096</v>
      </c>
      <c r="D379" s="9" t="str">
        <f>"230912426"</f>
        <v>230912426</v>
      </c>
      <c r="E379" s="10">
        <v>0</v>
      </c>
      <c r="F379" s="10"/>
      <c r="G379" s="10">
        <v>0</v>
      </c>
      <c r="H379" s="10"/>
      <c r="I379" s="10">
        <v>0</v>
      </c>
    </row>
    <row r="380" spans="1:9" s="1" customFormat="1" ht="21.75" customHeight="1">
      <c r="A380" s="8" t="s">
        <v>37</v>
      </c>
      <c r="B380" s="8" t="s">
        <v>38</v>
      </c>
      <c r="C380" s="9" t="str">
        <f t="shared" si="5"/>
        <v>230096</v>
      </c>
      <c r="D380" s="9" t="str">
        <f>"230912430"</f>
        <v>230912430</v>
      </c>
      <c r="E380" s="10">
        <v>0</v>
      </c>
      <c r="F380" s="10"/>
      <c r="G380" s="10">
        <v>0</v>
      </c>
      <c r="H380" s="10"/>
      <c r="I380" s="10">
        <v>0</v>
      </c>
    </row>
    <row r="381" spans="1:9" ht="21.75" customHeight="1">
      <c r="A381" s="8" t="s">
        <v>37</v>
      </c>
      <c r="B381" s="8" t="s">
        <v>38</v>
      </c>
      <c r="C381" s="9" t="str">
        <f t="shared" si="5"/>
        <v>230096</v>
      </c>
      <c r="D381" s="9" t="str">
        <f>"230912502"</f>
        <v>230912502</v>
      </c>
      <c r="E381" s="10">
        <v>0</v>
      </c>
      <c r="F381" s="10"/>
      <c r="G381" s="10">
        <v>0</v>
      </c>
      <c r="H381" s="10"/>
      <c r="I381" s="10">
        <v>0</v>
      </c>
    </row>
    <row r="382" spans="1:9" s="1" customFormat="1" ht="21.75" customHeight="1">
      <c r="A382" s="8" t="s">
        <v>37</v>
      </c>
      <c r="B382" s="8" t="s">
        <v>38</v>
      </c>
      <c r="C382" s="9" t="str">
        <f t="shared" si="5"/>
        <v>230096</v>
      </c>
      <c r="D382" s="9" t="str">
        <f>"230912511"</f>
        <v>230912511</v>
      </c>
      <c r="E382" s="10">
        <v>0</v>
      </c>
      <c r="F382" s="10"/>
      <c r="G382" s="10">
        <v>0</v>
      </c>
      <c r="H382" s="10"/>
      <c r="I382" s="10">
        <v>0</v>
      </c>
    </row>
    <row r="383" spans="1:9" s="1" customFormat="1" ht="21.75" customHeight="1">
      <c r="A383" s="8" t="s">
        <v>37</v>
      </c>
      <c r="B383" s="8" t="s">
        <v>38</v>
      </c>
      <c r="C383" s="9" t="str">
        <f t="shared" si="5"/>
        <v>230096</v>
      </c>
      <c r="D383" s="9" t="str">
        <f>"230912518"</f>
        <v>230912518</v>
      </c>
      <c r="E383" s="10">
        <v>0</v>
      </c>
      <c r="F383" s="10"/>
      <c r="G383" s="10">
        <v>0</v>
      </c>
      <c r="H383" s="10"/>
      <c r="I383" s="10">
        <v>0</v>
      </c>
    </row>
    <row r="384" spans="1:9" ht="21.75" customHeight="1">
      <c r="A384" s="8" t="s">
        <v>37</v>
      </c>
      <c r="B384" s="8" t="s">
        <v>38</v>
      </c>
      <c r="C384" s="9" t="str">
        <f t="shared" si="5"/>
        <v>230096</v>
      </c>
      <c r="D384" s="9" t="str">
        <f>"230912519"</f>
        <v>230912519</v>
      </c>
      <c r="E384" s="10">
        <v>0</v>
      </c>
      <c r="F384" s="10"/>
      <c r="G384" s="10">
        <v>0</v>
      </c>
      <c r="H384" s="10"/>
      <c r="I384" s="10">
        <v>0</v>
      </c>
    </row>
    <row r="385" spans="1:9" s="1" customFormat="1" ht="21.75" customHeight="1">
      <c r="A385" s="8" t="s">
        <v>37</v>
      </c>
      <c r="B385" s="8" t="s">
        <v>38</v>
      </c>
      <c r="C385" s="9" t="str">
        <f t="shared" si="5"/>
        <v>230096</v>
      </c>
      <c r="D385" s="9" t="str">
        <f>"230912521"</f>
        <v>230912521</v>
      </c>
      <c r="E385" s="10">
        <v>0</v>
      </c>
      <c r="F385" s="10"/>
      <c r="G385" s="10">
        <v>0</v>
      </c>
      <c r="H385" s="10"/>
      <c r="I385" s="10">
        <v>0</v>
      </c>
    </row>
    <row r="386" spans="1:9" s="1" customFormat="1" ht="21.75" customHeight="1">
      <c r="A386" s="8" t="s">
        <v>37</v>
      </c>
      <c r="B386" s="8" t="s">
        <v>38</v>
      </c>
      <c r="C386" s="9" t="str">
        <f t="shared" si="5"/>
        <v>230096</v>
      </c>
      <c r="D386" s="9" t="str">
        <f>"230912524"</f>
        <v>230912524</v>
      </c>
      <c r="E386" s="10">
        <v>0</v>
      </c>
      <c r="F386" s="10"/>
      <c r="G386" s="10">
        <v>0</v>
      </c>
      <c r="H386" s="10"/>
      <c r="I386" s="10">
        <v>0</v>
      </c>
    </row>
    <row r="387" spans="1:9" s="1" customFormat="1" ht="21.75" customHeight="1">
      <c r="A387" s="8" t="s">
        <v>37</v>
      </c>
      <c r="B387" s="8" t="s">
        <v>38</v>
      </c>
      <c r="C387" s="9" t="str">
        <f t="shared" si="5"/>
        <v>230096</v>
      </c>
      <c r="D387" s="9" t="str">
        <f>"230912525"</f>
        <v>230912525</v>
      </c>
      <c r="E387" s="10">
        <v>0</v>
      </c>
      <c r="F387" s="10"/>
      <c r="G387" s="10">
        <v>0</v>
      </c>
      <c r="H387" s="10"/>
      <c r="I387" s="10">
        <v>0</v>
      </c>
    </row>
    <row r="388" spans="1:9" ht="21.75" customHeight="1">
      <c r="A388" s="8" t="s">
        <v>37</v>
      </c>
      <c r="B388" s="8" t="s">
        <v>38</v>
      </c>
      <c r="C388" s="9" t="str">
        <f t="shared" si="5"/>
        <v>230096</v>
      </c>
      <c r="D388" s="9" t="str">
        <f>"230912526"</f>
        <v>230912526</v>
      </c>
      <c r="E388" s="10">
        <v>0</v>
      </c>
      <c r="F388" s="10"/>
      <c r="G388" s="10">
        <v>0</v>
      </c>
      <c r="H388" s="10"/>
      <c r="I388" s="10">
        <v>0</v>
      </c>
    </row>
    <row r="389" spans="1:9" s="1" customFormat="1" ht="21.75" customHeight="1">
      <c r="A389" s="8" t="s">
        <v>37</v>
      </c>
      <c r="B389" s="8" t="s">
        <v>38</v>
      </c>
      <c r="C389" s="9" t="str">
        <f t="shared" si="5"/>
        <v>230096</v>
      </c>
      <c r="D389" s="9" t="str">
        <f>"230912527"</f>
        <v>230912527</v>
      </c>
      <c r="E389" s="10">
        <v>0</v>
      </c>
      <c r="F389" s="10"/>
      <c r="G389" s="10">
        <v>0</v>
      </c>
      <c r="H389" s="10"/>
      <c r="I389" s="10">
        <v>0</v>
      </c>
    </row>
    <row r="390" spans="1:9" s="2" customFormat="1" ht="21.75" customHeight="1">
      <c r="A390" s="8" t="s">
        <v>37</v>
      </c>
      <c r="B390" s="8" t="s">
        <v>39</v>
      </c>
      <c r="C390" s="9" t="str">
        <f t="shared" ref="C390:C453" si="6">"230097"</f>
        <v>230097</v>
      </c>
      <c r="D390" s="9" t="str">
        <f>"230914012"</f>
        <v>230914012</v>
      </c>
      <c r="E390" s="10">
        <v>78.59</v>
      </c>
      <c r="F390" s="10"/>
      <c r="G390" s="10">
        <v>82.31</v>
      </c>
      <c r="H390" s="10"/>
      <c r="I390" s="10">
        <v>80.819999999999993</v>
      </c>
    </row>
    <row r="391" spans="1:9" s="2" customFormat="1" ht="21.75" customHeight="1">
      <c r="A391" s="8" t="s">
        <v>37</v>
      </c>
      <c r="B391" s="8" t="s">
        <v>39</v>
      </c>
      <c r="C391" s="9" t="str">
        <f t="shared" si="6"/>
        <v>230097</v>
      </c>
      <c r="D391" s="9" t="str">
        <f>"230914222"</f>
        <v>230914222</v>
      </c>
      <c r="E391" s="10">
        <v>72.73</v>
      </c>
      <c r="F391" s="10"/>
      <c r="G391" s="10">
        <v>82.3</v>
      </c>
      <c r="H391" s="10"/>
      <c r="I391" s="10">
        <v>78.47</v>
      </c>
    </row>
    <row r="392" spans="1:9" s="2" customFormat="1" ht="21.75" customHeight="1">
      <c r="A392" s="8" t="s">
        <v>37</v>
      </c>
      <c r="B392" s="8" t="s">
        <v>39</v>
      </c>
      <c r="C392" s="9" t="str">
        <f t="shared" si="6"/>
        <v>230097</v>
      </c>
      <c r="D392" s="9" t="str">
        <f>"230914112"</f>
        <v>230914112</v>
      </c>
      <c r="E392" s="10">
        <v>78.260000000000005</v>
      </c>
      <c r="F392" s="10"/>
      <c r="G392" s="10">
        <v>78.55</v>
      </c>
      <c r="H392" s="10"/>
      <c r="I392" s="10">
        <v>78.430000000000007</v>
      </c>
    </row>
    <row r="393" spans="1:9" s="2" customFormat="1" ht="21.75" customHeight="1">
      <c r="A393" s="8" t="s">
        <v>37</v>
      </c>
      <c r="B393" s="8" t="s">
        <v>39</v>
      </c>
      <c r="C393" s="9" t="str">
        <f t="shared" si="6"/>
        <v>230097</v>
      </c>
      <c r="D393" s="9" t="str">
        <f>"230913622"</f>
        <v>230913622</v>
      </c>
      <c r="E393" s="10">
        <v>85.27</v>
      </c>
      <c r="F393" s="10"/>
      <c r="G393" s="10">
        <v>73.19</v>
      </c>
      <c r="H393" s="10"/>
      <c r="I393" s="10">
        <v>78.02</v>
      </c>
    </row>
    <row r="394" spans="1:9" s="2" customFormat="1" ht="21.75" customHeight="1">
      <c r="A394" s="8" t="s">
        <v>37</v>
      </c>
      <c r="B394" s="8" t="s">
        <v>39</v>
      </c>
      <c r="C394" s="9" t="str">
        <f t="shared" si="6"/>
        <v>230097</v>
      </c>
      <c r="D394" s="9" t="str">
        <f>"230914421"</f>
        <v>230914421</v>
      </c>
      <c r="E394" s="10">
        <v>77.92</v>
      </c>
      <c r="F394" s="10"/>
      <c r="G394" s="10">
        <v>75.72</v>
      </c>
      <c r="H394" s="10"/>
      <c r="I394" s="10">
        <v>76.599999999999994</v>
      </c>
    </row>
    <row r="395" spans="1:9" s="2" customFormat="1" ht="21.75" customHeight="1">
      <c r="A395" s="8" t="s">
        <v>37</v>
      </c>
      <c r="B395" s="8" t="s">
        <v>39</v>
      </c>
      <c r="C395" s="9" t="str">
        <f t="shared" si="6"/>
        <v>230097</v>
      </c>
      <c r="D395" s="9" t="str">
        <f>"230913605"</f>
        <v>230913605</v>
      </c>
      <c r="E395" s="10">
        <v>77.349999999999994</v>
      </c>
      <c r="F395" s="10"/>
      <c r="G395" s="10">
        <v>75.81</v>
      </c>
      <c r="H395" s="10"/>
      <c r="I395" s="10">
        <v>76.430000000000007</v>
      </c>
    </row>
    <row r="396" spans="1:9" s="2" customFormat="1" ht="21.75" customHeight="1">
      <c r="A396" s="8" t="s">
        <v>37</v>
      </c>
      <c r="B396" s="8" t="s">
        <v>39</v>
      </c>
      <c r="C396" s="9" t="str">
        <f t="shared" si="6"/>
        <v>230097</v>
      </c>
      <c r="D396" s="9" t="str">
        <f>"230913612"</f>
        <v>230913612</v>
      </c>
      <c r="E396" s="10">
        <v>81.38</v>
      </c>
      <c r="F396" s="10"/>
      <c r="G396" s="10">
        <v>72.959999999999994</v>
      </c>
      <c r="H396" s="10"/>
      <c r="I396" s="10">
        <v>76.33</v>
      </c>
    </row>
    <row r="397" spans="1:9" s="2" customFormat="1" ht="21.75" customHeight="1">
      <c r="A397" s="8" t="s">
        <v>37</v>
      </c>
      <c r="B397" s="8" t="s">
        <v>39</v>
      </c>
      <c r="C397" s="9" t="str">
        <f t="shared" si="6"/>
        <v>230097</v>
      </c>
      <c r="D397" s="9" t="str">
        <f>"230913524"</f>
        <v>230913524</v>
      </c>
      <c r="E397" s="10">
        <v>78.709999999999994</v>
      </c>
      <c r="F397" s="10"/>
      <c r="G397" s="10">
        <v>72.709999999999994</v>
      </c>
      <c r="H397" s="10"/>
      <c r="I397" s="10">
        <v>75.11</v>
      </c>
    </row>
    <row r="398" spans="1:9" s="3" customFormat="1" ht="21.75" customHeight="1">
      <c r="A398" s="8" t="s">
        <v>37</v>
      </c>
      <c r="B398" s="8" t="s">
        <v>39</v>
      </c>
      <c r="C398" s="9" t="str">
        <f t="shared" si="6"/>
        <v>230097</v>
      </c>
      <c r="D398" s="9" t="str">
        <f>"230913809"</f>
        <v>230913809</v>
      </c>
      <c r="E398" s="10">
        <v>75.17</v>
      </c>
      <c r="F398" s="10"/>
      <c r="G398" s="10">
        <v>75.06</v>
      </c>
      <c r="H398" s="10"/>
      <c r="I398" s="10">
        <v>75.099999999999994</v>
      </c>
    </row>
    <row r="399" spans="1:9" s="3" customFormat="1" ht="21.75" customHeight="1">
      <c r="A399" s="8" t="s">
        <v>37</v>
      </c>
      <c r="B399" s="8" t="s">
        <v>39</v>
      </c>
      <c r="C399" s="9" t="str">
        <f t="shared" si="6"/>
        <v>230097</v>
      </c>
      <c r="D399" s="9" t="str">
        <f>"230913922"</f>
        <v>230913922</v>
      </c>
      <c r="E399" s="10">
        <v>76.98</v>
      </c>
      <c r="F399" s="10"/>
      <c r="G399" s="10">
        <v>73.760000000000005</v>
      </c>
      <c r="H399" s="10"/>
      <c r="I399" s="10">
        <v>75.05</v>
      </c>
    </row>
    <row r="400" spans="1:9" s="3" customFormat="1" ht="21.75" customHeight="1">
      <c r="A400" s="8" t="s">
        <v>37</v>
      </c>
      <c r="B400" s="8" t="s">
        <v>39</v>
      </c>
      <c r="C400" s="9" t="str">
        <f t="shared" si="6"/>
        <v>230097</v>
      </c>
      <c r="D400" s="9" t="str">
        <f>"230913506"</f>
        <v>230913506</v>
      </c>
      <c r="E400" s="10">
        <v>78.25</v>
      </c>
      <c r="F400" s="10"/>
      <c r="G400" s="10">
        <v>72.7</v>
      </c>
      <c r="H400" s="10"/>
      <c r="I400" s="10">
        <v>74.92</v>
      </c>
    </row>
    <row r="401" spans="1:9" s="2" customFormat="1" ht="21.75" customHeight="1">
      <c r="A401" s="8" t="s">
        <v>37</v>
      </c>
      <c r="B401" s="8" t="s">
        <v>39</v>
      </c>
      <c r="C401" s="9" t="str">
        <f t="shared" si="6"/>
        <v>230097</v>
      </c>
      <c r="D401" s="9" t="str">
        <f>"230912915"</f>
        <v>230912915</v>
      </c>
      <c r="E401" s="10">
        <v>71.819999999999993</v>
      </c>
      <c r="F401" s="10"/>
      <c r="G401" s="10">
        <v>76.760000000000005</v>
      </c>
      <c r="H401" s="10"/>
      <c r="I401" s="10">
        <v>74.78</v>
      </c>
    </row>
    <row r="402" spans="1:9" s="3" customFormat="1" ht="21.75" customHeight="1">
      <c r="A402" s="8" t="s">
        <v>37</v>
      </c>
      <c r="B402" s="8" t="s">
        <v>39</v>
      </c>
      <c r="C402" s="9" t="str">
        <f t="shared" si="6"/>
        <v>230097</v>
      </c>
      <c r="D402" s="9" t="str">
        <f>"230913211"</f>
        <v>230913211</v>
      </c>
      <c r="E402" s="10">
        <v>74.819999999999993</v>
      </c>
      <c r="F402" s="10"/>
      <c r="G402" s="10">
        <v>73.97</v>
      </c>
      <c r="H402" s="10"/>
      <c r="I402" s="10">
        <v>74.31</v>
      </c>
    </row>
    <row r="403" spans="1:9" s="2" customFormat="1" ht="21.75" customHeight="1">
      <c r="A403" s="8" t="s">
        <v>37</v>
      </c>
      <c r="B403" s="8" t="s">
        <v>39</v>
      </c>
      <c r="C403" s="9" t="str">
        <f t="shared" si="6"/>
        <v>230097</v>
      </c>
      <c r="D403" s="9" t="str">
        <f>"230912922"</f>
        <v>230912922</v>
      </c>
      <c r="E403" s="10">
        <v>70.319999999999993</v>
      </c>
      <c r="F403" s="10"/>
      <c r="G403" s="10">
        <v>76.739999999999995</v>
      </c>
      <c r="H403" s="10"/>
      <c r="I403" s="10">
        <v>74.17</v>
      </c>
    </row>
    <row r="404" spans="1:9" s="2" customFormat="1" ht="21.75" customHeight="1">
      <c r="A404" s="8" t="s">
        <v>37</v>
      </c>
      <c r="B404" s="8" t="s">
        <v>39</v>
      </c>
      <c r="C404" s="9" t="str">
        <f t="shared" si="6"/>
        <v>230097</v>
      </c>
      <c r="D404" s="9" t="str">
        <f>"230913015"</f>
        <v>230913015</v>
      </c>
      <c r="E404" s="10">
        <v>76.069999999999993</v>
      </c>
      <c r="F404" s="10"/>
      <c r="G404" s="10">
        <v>72.760000000000005</v>
      </c>
      <c r="H404" s="10"/>
      <c r="I404" s="10">
        <v>74.08</v>
      </c>
    </row>
    <row r="405" spans="1:9" s="2" customFormat="1" ht="21.75" customHeight="1">
      <c r="A405" s="8" t="s">
        <v>37</v>
      </c>
      <c r="B405" s="8" t="s">
        <v>39</v>
      </c>
      <c r="C405" s="9" t="str">
        <f t="shared" si="6"/>
        <v>230097</v>
      </c>
      <c r="D405" s="9" t="str">
        <f>"230913222"</f>
        <v>230913222</v>
      </c>
      <c r="E405" s="10">
        <v>78.260000000000005</v>
      </c>
      <c r="F405" s="10"/>
      <c r="G405" s="10">
        <v>71</v>
      </c>
      <c r="H405" s="10"/>
      <c r="I405" s="10">
        <v>73.900000000000006</v>
      </c>
    </row>
    <row r="406" spans="1:9" s="3" customFormat="1" ht="21.75" customHeight="1">
      <c r="A406" s="8" t="s">
        <v>37</v>
      </c>
      <c r="B406" s="8" t="s">
        <v>39</v>
      </c>
      <c r="C406" s="9" t="str">
        <f t="shared" si="6"/>
        <v>230097</v>
      </c>
      <c r="D406" s="9" t="str">
        <f>"230913224"</f>
        <v>230913224</v>
      </c>
      <c r="E406" s="10">
        <v>68.84</v>
      </c>
      <c r="F406" s="10"/>
      <c r="G406" s="10">
        <v>77.05</v>
      </c>
      <c r="H406" s="10"/>
      <c r="I406" s="10">
        <v>73.77</v>
      </c>
    </row>
    <row r="407" spans="1:9" s="3" customFormat="1" ht="21.75" customHeight="1">
      <c r="A407" s="8" t="s">
        <v>37</v>
      </c>
      <c r="B407" s="8" t="s">
        <v>39</v>
      </c>
      <c r="C407" s="9" t="str">
        <f t="shared" si="6"/>
        <v>230097</v>
      </c>
      <c r="D407" s="9" t="str">
        <f>"230913320"</f>
        <v>230913320</v>
      </c>
      <c r="E407" s="10">
        <v>78.5</v>
      </c>
      <c r="F407" s="10"/>
      <c r="G407" s="10">
        <v>70.47</v>
      </c>
      <c r="H407" s="10"/>
      <c r="I407" s="10">
        <v>73.680000000000007</v>
      </c>
    </row>
    <row r="408" spans="1:9" s="3" customFormat="1" ht="21.75" customHeight="1">
      <c r="A408" s="8" t="s">
        <v>37</v>
      </c>
      <c r="B408" s="8" t="s">
        <v>39</v>
      </c>
      <c r="C408" s="9" t="str">
        <f t="shared" si="6"/>
        <v>230097</v>
      </c>
      <c r="D408" s="9" t="str">
        <f>"230913104"</f>
        <v>230913104</v>
      </c>
      <c r="E408" s="10">
        <v>71.23</v>
      </c>
      <c r="F408" s="10"/>
      <c r="G408" s="10">
        <v>75.14</v>
      </c>
      <c r="H408" s="10"/>
      <c r="I408" s="10">
        <v>73.58</v>
      </c>
    </row>
    <row r="409" spans="1:9" s="3" customFormat="1" ht="21.75" customHeight="1">
      <c r="A409" s="8" t="s">
        <v>37</v>
      </c>
      <c r="B409" s="8" t="s">
        <v>39</v>
      </c>
      <c r="C409" s="9" t="str">
        <f t="shared" si="6"/>
        <v>230097</v>
      </c>
      <c r="D409" s="9" t="str">
        <f>"230913218"</f>
        <v>230913218</v>
      </c>
      <c r="E409" s="10">
        <v>78.39</v>
      </c>
      <c r="F409" s="10"/>
      <c r="G409" s="10">
        <v>70.36</v>
      </c>
      <c r="H409" s="10"/>
      <c r="I409" s="10">
        <v>73.569999999999993</v>
      </c>
    </row>
    <row r="410" spans="1:9" s="2" customFormat="1" ht="21.75" customHeight="1">
      <c r="A410" s="8" t="s">
        <v>37</v>
      </c>
      <c r="B410" s="8" t="s">
        <v>39</v>
      </c>
      <c r="C410" s="9" t="str">
        <f t="shared" si="6"/>
        <v>230097</v>
      </c>
      <c r="D410" s="9" t="str">
        <f>"230914013"</f>
        <v>230914013</v>
      </c>
      <c r="E410" s="10">
        <v>64.930000000000007</v>
      </c>
      <c r="F410" s="10"/>
      <c r="G410" s="10">
        <v>79.13</v>
      </c>
      <c r="H410" s="10"/>
      <c r="I410" s="10">
        <v>73.45</v>
      </c>
    </row>
    <row r="411" spans="1:9" s="2" customFormat="1" ht="21.75" customHeight="1">
      <c r="A411" s="8" t="s">
        <v>37</v>
      </c>
      <c r="B411" s="8" t="s">
        <v>39</v>
      </c>
      <c r="C411" s="9" t="str">
        <f t="shared" si="6"/>
        <v>230097</v>
      </c>
      <c r="D411" s="9" t="str">
        <f>"230913501"</f>
        <v>230913501</v>
      </c>
      <c r="E411" s="10">
        <v>70.099999999999994</v>
      </c>
      <c r="F411" s="10"/>
      <c r="G411" s="10">
        <v>75.67</v>
      </c>
      <c r="H411" s="10"/>
      <c r="I411" s="10">
        <v>73.44</v>
      </c>
    </row>
    <row r="412" spans="1:9" s="2" customFormat="1" ht="21.75" customHeight="1">
      <c r="A412" s="8" t="s">
        <v>37</v>
      </c>
      <c r="B412" s="8" t="s">
        <v>39</v>
      </c>
      <c r="C412" s="9" t="str">
        <f t="shared" si="6"/>
        <v>230097</v>
      </c>
      <c r="D412" s="9" t="str">
        <f>"230913108"</f>
        <v>230913108</v>
      </c>
      <c r="E412" s="10">
        <v>61.47</v>
      </c>
      <c r="F412" s="10"/>
      <c r="G412" s="10">
        <v>81.39</v>
      </c>
      <c r="H412" s="10"/>
      <c r="I412" s="10">
        <v>73.42</v>
      </c>
    </row>
    <row r="413" spans="1:9" s="2" customFormat="1" ht="21.75" customHeight="1">
      <c r="A413" s="8" t="s">
        <v>37</v>
      </c>
      <c r="B413" s="8" t="s">
        <v>39</v>
      </c>
      <c r="C413" s="9" t="str">
        <f t="shared" si="6"/>
        <v>230097</v>
      </c>
      <c r="D413" s="9" t="str">
        <f>"230913525"</f>
        <v>230913525</v>
      </c>
      <c r="E413" s="10">
        <v>71.45</v>
      </c>
      <c r="F413" s="10"/>
      <c r="G413" s="10">
        <v>74.13</v>
      </c>
      <c r="H413" s="10"/>
      <c r="I413" s="10">
        <v>73.06</v>
      </c>
    </row>
    <row r="414" spans="1:9" s="2" customFormat="1" ht="21.75" customHeight="1">
      <c r="A414" s="8" t="s">
        <v>37</v>
      </c>
      <c r="B414" s="8" t="s">
        <v>39</v>
      </c>
      <c r="C414" s="9" t="str">
        <f t="shared" si="6"/>
        <v>230097</v>
      </c>
      <c r="D414" s="9" t="str">
        <f>"230913617"</f>
        <v>230913617</v>
      </c>
      <c r="E414" s="10">
        <v>71.930000000000007</v>
      </c>
      <c r="F414" s="10"/>
      <c r="G414" s="10">
        <v>73.819999999999993</v>
      </c>
      <c r="H414" s="10"/>
      <c r="I414" s="10">
        <v>73.06</v>
      </c>
    </row>
    <row r="415" spans="1:9" s="3" customFormat="1" ht="21.75" customHeight="1">
      <c r="A415" s="8" t="s">
        <v>37</v>
      </c>
      <c r="B415" s="8" t="s">
        <v>39</v>
      </c>
      <c r="C415" s="9" t="str">
        <f t="shared" si="6"/>
        <v>230097</v>
      </c>
      <c r="D415" s="9" t="str">
        <f>"230913210"</f>
        <v>230913210</v>
      </c>
      <c r="E415" s="10">
        <v>66.88</v>
      </c>
      <c r="F415" s="10"/>
      <c r="G415" s="10">
        <v>77.13</v>
      </c>
      <c r="H415" s="10"/>
      <c r="I415" s="10">
        <v>73.03</v>
      </c>
    </row>
    <row r="416" spans="1:9" s="2" customFormat="1" ht="21.75" customHeight="1">
      <c r="A416" s="8" t="s">
        <v>37</v>
      </c>
      <c r="B416" s="8" t="s">
        <v>39</v>
      </c>
      <c r="C416" s="9" t="str">
        <f t="shared" si="6"/>
        <v>230097</v>
      </c>
      <c r="D416" s="9" t="str">
        <f>"230914023"</f>
        <v>230914023</v>
      </c>
      <c r="E416" s="10">
        <v>74.010000000000005</v>
      </c>
      <c r="F416" s="10"/>
      <c r="G416" s="10">
        <v>72.3</v>
      </c>
      <c r="H416" s="10"/>
      <c r="I416" s="10">
        <v>72.98</v>
      </c>
    </row>
    <row r="417" spans="1:9" s="2" customFormat="1" ht="21.75" customHeight="1">
      <c r="A417" s="8" t="s">
        <v>37</v>
      </c>
      <c r="B417" s="8" t="s">
        <v>39</v>
      </c>
      <c r="C417" s="9" t="str">
        <f t="shared" si="6"/>
        <v>230097</v>
      </c>
      <c r="D417" s="9" t="str">
        <f>"230913215"</f>
        <v>230913215</v>
      </c>
      <c r="E417" s="10">
        <v>71.819999999999993</v>
      </c>
      <c r="F417" s="10"/>
      <c r="G417" s="10">
        <v>73.739999999999995</v>
      </c>
      <c r="H417" s="10"/>
      <c r="I417" s="10">
        <v>72.97</v>
      </c>
    </row>
    <row r="418" spans="1:9" s="3" customFormat="1" ht="21.75" customHeight="1">
      <c r="A418" s="8" t="s">
        <v>37</v>
      </c>
      <c r="B418" s="8" t="s">
        <v>39</v>
      </c>
      <c r="C418" s="9" t="str">
        <f t="shared" si="6"/>
        <v>230097</v>
      </c>
      <c r="D418" s="9" t="str">
        <f>"230913711"</f>
        <v>230913711</v>
      </c>
      <c r="E418" s="10">
        <v>72.16</v>
      </c>
      <c r="F418" s="10"/>
      <c r="G418" s="10">
        <v>72.81</v>
      </c>
      <c r="H418" s="10"/>
      <c r="I418" s="10">
        <v>72.55</v>
      </c>
    </row>
    <row r="419" spans="1:9" s="2" customFormat="1" ht="21.75" customHeight="1">
      <c r="A419" s="8" t="s">
        <v>37</v>
      </c>
      <c r="B419" s="8" t="s">
        <v>39</v>
      </c>
      <c r="C419" s="9" t="str">
        <f t="shared" si="6"/>
        <v>230097</v>
      </c>
      <c r="D419" s="9" t="str">
        <f>"230912930"</f>
        <v>230912930</v>
      </c>
      <c r="E419" s="10">
        <v>74.930000000000007</v>
      </c>
      <c r="F419" s="10"/>
      <c r="G419" s="10">
        <v>70.930000000000007</v>
      </c>
      <c r="H419" s="10"/>
      <c r="I419" s="10">
        <v>72.53</v>
      </c>
    </row>
    <row r="420" spans="1:9" s="2" customFormat="1" ht="21.75" customHeight="1">
      <c r="A420" s="8" t="s">
        <v>37</v>
      </c>
      <c r="B420" s="8" t="s">
        <v>39</v>
      </c>
      <c r="C420" s="9" t="str">
        <f t="shared" si="6"/>
        <v>230097</v>
      </c>
      <c r="D420" s="9" t="str">
        <f>"230913819"</f>
        <v>230913819</v>
      </c>
      <c r="E420" s="10">
        <v>77.11</v>
      </c>
      <c r="F420" s="10"/>
      <c r="G420" s="10">
        <v>69.44</v>
      </c>
      <c r="H420" s="10"/>
      <c r="I420" s="10">
        <v>72.510000000000005</v>
      </c>
    </row>
    <row r="421" spans="1:9" s="3" customFormat="1" ht="21.75" customHeight="1">
      <c r="A421" s="8" t="s">
        <v>37</v>
      </c>
      <c r="B421" s="8" t="s">
        <v>39</v>
      </c>
      <c r="C421" s="9" t="str">
        <f t="shared" si="6"/>
        <v>230097</v>
      </c>
      <c r="D421" s="9" t="str">
        <f>"230913113"</f>
        <v>230913113</v>
      </c>
      <c r="E421" s="10">
        <v>80.91</v>
      </c>
      <c r="F421" s="10"/>
      <c r="G421" s="10">
        <v>66.849999999999994</v>
      </c>
      <c r="H421" s="10"/>
      <c r="I421" s="10">
        <v>72.47</v>
      </c>
    </row>
    <row r="422" spans="1:9" s="2" customFormat="1" ht="21.75" customHeight="1">
      <c r="A422" s="8" t="s">
        <v>37</v>
      </c>
      <c r="B422" s="8" t="s">
        <v>39</v>
      </c>
      <c r="C422" s="9" t="str">
        <f t="shared" si="6"/>
        <v>230097</v>
      </c>
      <c r="D422" s="9" t="str">
        <f>"230913019"</f>
        <v>230913019</v>
      </c>
      <c r="E422" s="10">
        <v>68.36</v>
      </c>
      <c r="F422" s="10"/>
      <c r="G422" s="10">
        <v>74.709999999999994</v>
      </c>
      <c r="H422" s="10"/>
      <c r="I422" s="10">
        <v>72.17</v>
      </c>
    </row>
    <row r="423" spans="1:9" s="3" customFormat="1" ht="21.75" customHeight="1">
      <c r="A423" s="8" t="s">
        <v>37</v>
      </c>
      <c r="B423" s="8" t="s">
        <v>39</v>
      </c>
      <c r="C423" s="9" t="str">
        <f t="shared" si="6"/>
        <v>230097</v>
      </c>
      <c r="D423" s="9" t="str">
        <f>"230914126"</f>
        <v>230914126</v>
      </c>
      <c r="E423" s="10">
        <v>81.83</v>
      </c>
      <c r="F423" s="10"/>
      <c r="G423" s="10">
        <v>65.69</v>
      </c>
      <c r="H423" s="10"/>
      <c r="I423" s="10">
        <v>72.150000000000006</v>
      </c>
    </row>
    <row r="424" spans="1:9" s="3" customFormat="1" ht="21.75" customHeight="1">
      <c r="A424" s="8" t="s">
        <v>37</v>
      </c>
      <c r="B424" s="8" t="s">
        <v>39</v>
      </c>
      <c r="C424" s="9" t="str">
        <f t="shared" si="6"/>
        <v>230097</v>
      </c>
      <c r="D424" s="9" t="str">
        <f>"230913628"</f>
        <v>230913628</v>
      </c>
      <c r="E424" s="10">
        <v>72.489999999999995</v>
      </c>
      <c r="F424" s="10"/>
      <c r="G424" s="10">
        <v>71.86</v>
      </c>
      <c r="H424" s="10"/>
      <c r="I424" s="10">
        <v>72.11</v>
      </c>
    </row>
    <row r="425" spans="1:9" s="2" customFormat="1" ht="21.75" customHeight="1">
      <c r="A425" s="8" t="s">
        <v>37</v>
      </c>
      <c r="B425" s="8" t="s">
        <v>39</v>
      </c>
      <c r="C425" s="9" t="str">
        <f t="shared" si="6"/>
        <v>230097</v>
      </c>
      <c r="D425" s="9" t="str">
        <f>"230914202"</f>
        <v>230914202</v>
      </c>
      <c r="E425" s="10">
        <v>69.87</v>
      </c>
      <c r="F425" s="10"/>
      <c r="G425" s="10">
        <v>73.569999999999993</v>
      </c>
      <c r="H425" s="10"/>
      <c r="I425" s="10">
        <v>72.09</v>
      </c>
    </row>
    <row r="426" spans="1:9" s="2" customFormat="1" ht="21.75" customHeight="1">
      <c r="A426" s="8" t="s">
        <v>37</v>
      </c>
      <c r="B426" s="8" t="s">
        <v>39</v>
      </c>
      <c r="C426" s="9" t="str">
        <f t="shared" si="6"/>
        <v>230097</v>
      </c>
      <c r="D426" s="9" t="str">
        <f>"230913521"</f>
        <v>230913521</v>
      </c>
      <c r="E426" s="10">
        <v>74.349999999999994</v>
      </c>
      <c r="F426" s="10"/>
      <c r="G426" s="10">
        <v>70.510000000000005</v>
      </c>
      <c r="H426" s="10"/>
      <c r="I426" s="10">
        <v>72.05</v>
      </c>
    </row>
    <row r="427" spans="1:9" s="2" customFormat="1" ht="21.75" customHeight="1">
      <c r="A427" s="8" t="s">
        <v>37</v>
      </c>
      <c r="B427" s="8" t="s">
        <v>39</v>
      </c>
      <c r="C427" s="9" t="str">
        <f t="shared" si="6"/>
        <v>230097</v>
      </c>
      <c r="D427" s="9" t="str">
        <f>"230914316"</f>
        <v>230914316</v>
      </c>
      <c r="E427" s="10">
        <v>80.33</v>
      </c>
      <c r="F427" s="10"/>
      <c r="G427" s="10">
        <v>66.5</v>
      </c>
      <c r="H427" s="10"/>
      <c r="I427" s="10">
        <v>72.03</v>
      </c>
    </row>
    <row r="428" spans="1:9" s="2" customFormat="1" ht="21.75" customHeight="1">
      <c r="A428" s="8" t="s">
        <v>37</v>
      </c>
      <c r="B428" s="8" t="s">
        <v>39</v>
      </c>
      <c r="C428" s="9" t="str">
        <f t="shared" si="6"/>
        <v>230097</v>
      </c>
      <c r="D428" s="9" t="str">
        <f>"230913106"</f>
        <v>230913106</v>
      </c>
      <c r="E428" s="10">
        <v>69.63</v>
      </c>
      <c r="F428" s="10"/>
      <c r="G428" s="10">
        <v>73.540000000000006</v>
      </c>
      <c r="H428" s="10"/>
      <c r="I428" s="10">
        <v>71.98</v>
      </c>
    </row>
    <row r="429" spans="1:9" s="2" customFormat="1" ht="21.75" customHeight="1">
      <c r="A429" s="8" t="s">
        <v>37</v>
      </c>
      <c r="B429" s="8" t="s">
        <v>39</v>
      </c>
      <c r="C429" s="9" t="str">
        <f t="shared" si="6"/>
        <v>230097</v>
      </c>
      <c r="D429" s="9" t="str">
        <f>"230913112"</f>
        <v>230913112</v>
      </c>
      <c r="E429" s="10">
        <v>77.56</v>
      </c>
      <c r="F429" s="10"/>
      <c r="G429" s="10">
        <v>68.03</v>
      </c>
      <c r="H429" s="10"/>
      <c r="I429" s="10">
        <v>71.84</v>
      </c>
    </row>
    <row r="430" spans="1:9" s="2" customFormat="1" ht="21.75" customHeight="1">
      <c r="A430" s="8" t="s">
        <v>37</v>
      </c>
      <c r="B430" s="8" t="s">
        <v>39</v>
      </c>
      <c r="C430" s="9" t="str">
        <f t="shared" si="6"/>
        <v>230097</v>
      </c>
      <c r="D430" s="9" t="str">
        <f>"230913316"</f>
        <v>230913316</v>
      </c>
      <c r="E430" s="10">
        <v>76.650000000000006</v>
      </c>
      <c r="F430" s="10"/>
      <c r="G430" s="10">
        <v>68.599999999999994</v>
      </c>
      <c r="H430" s="10"/>
      <c r="I430" s="10">
        <v>71.819999999999993</v>
      </c>
    </row>
    <row r="431" spans="1:9" s="2" customFormat="1" ht="21.75" customHeight="1">
      <c r="A431" s="8" t="s">
        <v>37</v>
      </c>
      <c r="B431" s="8" t="s">
        <v>39</v>
      </c>
      <c r="C431" s="9" t="str">
        <f t="shared" si="6"/>
        <v>230097</v>
      </c>
      <c r="D431" s="9" t="str">
        <f>"230914211"</f>
        <v>230914211</v>
      </c>
      <c r="E431" s="10">
        <v>70.55</v>
      </c>
      <c r="F431" s="10"/>
      <c r="G431" s="10">
        <v>72.58</v>
      </c>
      <c r="H431" s="10"/>
      <c r="I431" s="10">
        <v>71.77</v>
      </c>
    </row>
    <row r="432" spans="1:9" s="3" customFormat="1" ht="21.75" customHeight="1">
      <c r="A432" s="8" t="s">
        <v>37</v>
      </c>
      <c r="B432" s="8" t="s">
        <v>39</v>
      </c>
      <c r="C432" s="9" t="str">
        <f t="shared" si="6"/>
        <v>230097</v>
      </c>
      <c r="D432" s="9" t="str">
        <f>"230914411"</f>
        <v>230914411</v>
      </c>
      <c r="E432" s="10">
        <v>73.09</v>
      </c>
      <c r="F432" s="10"/>
      <c r="G432" s="10">
        <v>70.739999999999995</v>
      </c>
      <c r="H432" s="10"/>
      <c r="I432" s="10">
        <v>71.680000000000007</v>
      </c>
    </row>
    <row r="433" spans="1:9" s="3" customFormat="1" ht="21.75" customHeight="1">
      <c r="A433" s="8" t="s">
        <v>37</v>
      </c>
      <c r="B433" s="8" t="s">
        <v>39</v>
      </c>
      <c r="C433" s="9" t="str">
        <f t="shared" si="6"/>
        <v>230097</v>
      </c>
      <c r="D433" s="9" t="str">
        <f>"230914214"</f>
        <v>230914214</v>
      </c>
      <c r="E433" s="10">
        <v>68.48</v>
      </c>
      <c r="F433" s="10"/>
      <c r="G433" s="10">
        <v>73.48</v>
      </c>
      <c r="H433" s="10"/>
      <c r="I433" s="10">
        <v>71.48</v>
      </c>
    </row>
    <row r="434" spans="1:9" s="2" customFormat="1" ht="21.75" customHeight="1">
      <c r="A434" s="8" t="s">
        <v>37</v>
      </c>
      <c r="B434" s="8" t="s">
        <v>39</v>
      </c>
      <c r="C434" s="9" t="str">
        <f t="shared" si="6"/>
        <v>230097</v>
      </c>
      <c r="D434" s="9" t="str">
        <f>"230913225"</f>
        <v>230913225</v>
      </c>
      <c r="E434" s="10">
        <v>69.84</v>
      </c>
      <c r="F434" s="10"/>
      <c r="G434" s="10">
        <v>72.260000000000005</v>
      </c>
      <c r="H434" s="10"/>
      <c r="I434" s="10">
        <v>71.290000000000006</v>
      </c>
    </row>
    <row r="435" spans="1:9" s="2" customFormat="1" ht="21.75" customHeight="1">
      <c r="A435" s="8" t="s">
        <v>37</v>
      </c>
      <c r="B435" s="8" t="s">
        <v>39</v>
      </c>
      <c r="C435" s="9" t="str">
        <f t="shared" si="6"/>
        <v>230097</v>
      </c>
      <c r="D435" s="9" t="str">
        <f>"230913804"</f>
        <v>230913804</v>
      </c>
      <c r="E435" s="10">
        <v>65.37</v>
      </c>
      <c r="F435" s="10"/>
      <c r="G435" s="10">
        <v>75.23</v>
      </c>
      <c r="H435" s="10"/>
      <c r="I435" s="10">
        <v>71.290000000000006</v>
      </c>
    </row>
    <row r="436" spans="1:9" s="2" customFormat="1" ht="21.75" customHeight="1">
      <c r="A436" s="8" t="s">
        <v>37</v>
      </c>
      <c r="B436" s="8" t="s">
        <v>39</v>
      </c>
      <c r="C436" s="9" t="str">
        <f t="shared" si="6"/>
        <v>230097</v>
      </c>
      <c r="D436" s="9" t="str">
        <f>"230913116"</f>
        <v>230913116</v>
      </c>
      <c r="E436" s="10">
        <v>67.55</v>
      </c>
      <c r="F436" s="10"/>
      <c r="G436" s="10">
        <v>73.73</v>
      </c>
      <c r="H436" s="10"/>
      <c r="I436" s="10">
        <v>71.260000000000005</v>
      </c>
    </row>
    <row r="437" spans="1:9" s="2" customFormat="1" ht="21.75" customHeight="1">
      <c r="A437" s="8" t="s">
        <v>37</v>
      </c>
      <c r="B437" s="8" t="s">
        <v>39</v>
      </c>
      <c r="C437" s="9" t="str">
        <f t="shared" si="6"/>
        <v>230097</v>
      </c>
      <c r="D437" s="9" t="str">
        <f>"230914505"</f>
        <v>230914505</v>
      </c>
      <c r="E437" s="10">
        <v>74.7</v>
      </c>
      <c r="F437" s="10"/>
      <c r="G437" s="10">
        <v>68.84</v>
      </c>
      <c r="H437" s="10"/>
      <c r="I437" s="10">
        <v>71.180000000000007</v>
      </c>
    </row>
    <row r="438" spans="1:9" s="2" customFormat="1" ht="21.75" customHeight="1">
      <c r="A438" s="8" t="s">
        <v>37</v>
      </c>
      <c r="B438" s="8" t="s">
        <v>39</v>
      </c>
      <c r="C438" s="9" t="str">
        <f t="shared" si="6"/>
        <v>230097</v>
      </c>
      <c r="D438" s="9" t="str">
        <f>"230913715"</f>
        <v>230913715</v>
      </c>
      <c r="E438" s="10">
        <v>75.510000000000005</v>
      </c>
      <c r="F438" s="10"/>
      <c r="G438" s="10">
        <v>68.2</v>
      </c>
      <c r="H438" s="10"/>
      <c r="I438" s="10">
        <v>71.12</v>
      </c>
    </row>
    <row r="439" spans="1:9" s="2" customFormat="1" ht="21.75" customHeight="1">
      <c r="A439" s="8" t="s">
        <v>37</v>
      </c>
      <c r="B439" s="8" t="s">
        <v>39</v>
      </c>
      <c r="C439" s="9" t="str">
        <f t="shared" si="6"/>
        <v>230097</v>
      </c>
      <c r="D439" s="9" t="str">
        <f>"230914318"</f>
        <v>230914318</v>
      </c>
      <c r="E439" s="10">
        <v>66.28</v>
      </c>
      <c r="F439" s="10"/>
      <c r="G439" s="10">
        <v>74.31</v>
      </c>
      <c r="H439" s="10"/>
      <c r="I439" s="10">
        <v>71.099999999999994</v>
      </c>
    </row>
    <row r="440" spans="1:9" s="3" customFormat="1" ht="21.75" customHeight="1">
      <c r="A440" s="8" t="s">
        <v>37</v>
      </c>
      <c r="B440" s="8" t="s">
        <v>39</v>
      </c>
      <c r="C440" s="9" t="str">
        <f t="shared" si="6"/>
        <v>230097</v>
      </c>
      <c r="D440" s="9" t="str">
        <f>"230914021"</f>
        <v>230914021</v>
      </c>
      <c r="E440" s="10">
        <v>61.36</v>
      </c>
      <c r="F440" s="10"/>
      <c r="G440" s="10">
        <v>77.56</v>
      </c>
      <c r="H440" s="10"/>
      <c r="I440" s="10">
        <v>71.08</v>
      </c>
    </row>
    <row r="441" spans="1:9" s="2" customFormat="1" ht="21.75" customHeight="1">
      <c r="A441" s="8" t="s">
        <v>37</v>
      </c>
      <c r="B441" s="8" t="s">
        <v>39</v>
      </c>
      <c r="C441" s="9" t="str">
        <f t="shared" si="6"/>
        <v>230097</v>
      </c>
      <c r="D441" s="9" t="str">
        <f>"230913801"</f>
        <v>230913801</v>
      </c>
      <c r="E441" s="10">
        <v>72.510000000000005</v>
      </c>
      <c r="F441" s="10"/>
      <c r="G441" s="10">
        <v>69.88</v>
      </c>
      <c r="H441" s="10"/>
      <c r="I441" s="10">
        <v>70.930000000000007</v>
      </c>
    </row>
    <row r="442" spans="1:9" s="3" customFormat="1" ht="21.75" customHeight="1">
      <c r="A442" s="8" t="s">
        <v>37</v>
      </c>
      <c r="B442" s="8" t="s">
        <v>39</v>
      </c>
      <c r="C442" s="9" t="str">
        <f t="shared" si="6"/>
        <v>230097</v>
      </c>
      <c r="D442" s="9" t="str">
        <f>"230914011"</f>
        <v>230914011</v>
      </c>
      <c r="E442" s="10">
        <v>66.64</v>
      </c>
      <c r="F442" s="10"/>
      <c r="G442" s="10">
        <v>73.75</v>
      </c>
      <c r="H442" s="10"/>
      <c r="I442" s="10">
        <v>70.91</v>
      </c>
    </row>
    <row r="443" spans="1:9" s="3" customFormat="1" ht="21.75" customHeight="1">
      <c r="A443" s="8" t="s">
        <v>37</v>
      </c>
      <c r="B443" s="8" t="s">
        <v>39</v>
      </c>
      <c r="C443" s="9" t="str">
        <f t="shared" si="6"/>
        <v>230097</v>
      </c>
      <c r="D443" s="9" t="str">
        <f>"230913722"</f>
        <v>230913722</v>
      </c>
      <c r="E443" s="10">
        <v>76.64</v>
      </c>
      <c r="F443" s="10"/>
      <c r="G443" s="10">
        <v>66.97</v>
      </c>
      <c r="H443" s="10"/>
      <c r="I443" s="10">
        <v>70.84</v>
      </c>
    </row>
    <row r="444" spans="1:9" s="2" customFormat="1" ht="21.75" customHeight="1">
      <c r="A444" s="8" t="s">
        <v>37</v>
      </c>
      <c r="B444" s="8" t="s">
        <v>39</v>
      </c>
      <c r="C444" s="9" t="str">
        <f t="shared" si="6"/>
        <v>230097</v>
      </c>
      <c r="D444" s="9" t="str">
        <f>"230914213"</f>
        <v>230914213</v>
      </c>
      <c r="E444" s="10">
        <v>76.42</v>
      </c>
      <c r="F444" s="10"/>
      <c r="G444" s="10">
        <v>67.08</v>
      </c>
      <c r="H444" s="10"/>
      <c r="I444" s="10">
        <v>70.819999999999993</v>
      </c>
    </row>
    <row r="445" spans="1:9" s="3" customFormat="1" ht="21.75" customHeight="1">
      <c r="A445" s="8" t="s">
        <v>37</v>
      </c>
      <c r="B445" s="8" t="s">
        <v>39</v>
      </c>
      <c r="C445" s="9" t="str">
        <f t="shared" si="6"/>
        <v>230097</v>
      </c>
      <c r="D445" s="9" t="str">
        <f>"230914408"</f>
        <v>230914408</v>
      </c>
      <c r="E445" s="10">
        <v>72.72</v>
      </c>
      <c r="F445" s="10"/>
      <c r="G445" s="10">
        <v>69.540000000000006</v>
      </c>
      <c r="H445" s="10"/>
      <c r="I445" s="10">
        <v>70.81</v>
      </c>
    </row>
    <row r="446" spans="1:9" s="2" customFormat="1" ht="21.75" customHeight="1">
      <c r="A446" s="8" t="s">
        <v>37</v>
      </c>
      <c r="B446" s="8" t="s">
        <v>39</v>
      </c>
      <c r="C446" s="9" t="str">
        <f t="shared" si="6"/>
        <v>230097</v>
      </c>
      <c r="D446" s="9" t="str">
        <f>"230913120"</f>
        <v>230913120</v>
      </c>
      <c r="E446" s="10">
        <v>73.31</v>
      </c>
      <c r="F446" s="10"/>
      <c r="G446" s="10">
        <v>69.09</v>
      </c>
      <c r="H446" s="10"/>
      <c r="I446" s="10">
        <v>70.78</v>
      </c>
    </row>
    <row r="447" spans="1:9" s="2" customFormat="1" ht="21.75" customHeight="1">
      <c r="A447" s="8" t="s">
        <v>37</v>
      </c>
      <c r="B447" s="8" t="s">
        <v>39</v>
      </c>
      <c r="C447" s="9" t="str">
        <f t="shared" si="6"/>
        <v>230097</v>
      </c>
      <c r="D447" s="9" t="str">
        <f>"230914325"</f>
        <v>230914325</v>
      </c>
      <c r="E447" s="10">
        <v>79.87</v>
      </c>
      <c r="F447" s="10"/>
      <c r="G447" s="10">
        <v>64.260000000000005</v>
      </c>
      <c r="H447" s="10"/>
      <c r="I447" s="10">
        <v>70.5</v>
      </c>
    </row>
    <row r="448" spans="1:9" s="2" customFormat="1" ht="21.75" customHeight="1">
      <c r="A448" s="8" t="s">
        <v>37</v>
      </c>
      <c r="B448" s="8" t="s">
        <v>39</v>
      </c>
      <c r="C448" s="9" t="str">
        <f t="shared" si="6"/>
        <v>230097</v>
      </c>
      <c r="D448" s="9" t="str">
        <f>"230913813"</f>
        <v>230913813</v>
      </c>
      <c r="E448" s="10">
        <v>79.06</v>
      </c>
      <c r="F448" s="10"/>
      <c r="G448" s="10">
        <v>64.69</v>
      </c>
      <c r="H448" s="10"/>
      <c r="I448" s="10">
        <v>70.44</v>
      </c>
    </row>
    <row r="449" spans="1:9" s="2" customFormat="1" ht="21.75" customHeight="1">
      <c r="A449" s="8" t="s">
        <v>37</v>
      </c>
      <c r="B449" s="8" t="s">
        <v>39</v>
      </c>
      <c r="C449" s="9" t="str">
        <f t="shared" si="6"/>
        <v>230097</v>
      </c>
      <c r="D449" s="9" t="str">
        <f>"230914608"</f>
        <v>230914608</v>
      </c>
      <c r="E449" s="10">
        <v>67.680000000000007</v>
      </c>
      <c r="F449" s="10"/>
      <c r="G449" s="10">
        <v>72.11</v>
      </c>
      <c r="H449" s="10"/>
      <c r="I449" s="10">
        <v>70.34</v>
      </c>
    </row>
    <row r="450" spans="1:9" s="2" customFormat="1" ht="21.75" customHeight="1">
      <c r="A450" s="8" t="s">
        <v>37</v>
      </c>
      <c r="B450" s="8" t="s">
        <v>39</v>
      </c>
      <c r="C450" s="9" t="str">
        <f t="shared" si="6"/>
        <v>230097</v>
      </c>
      <c r="D450" s="9" t="str">
        <f>"230913213"</f>
        <v>230913213</v>
      </c>
      <c r="E450" s="10">
        <v>75.14</v>
      </c>
      <c r="F450" s="10"/>
      <c r="G450" s="10">
        <v>67.06</v>
      </c>
      <c r="H450" s="10"/>
      <c r="I450" s="10">
        <v>70.290000000000006</v>
      </c>
    </row>
    <row r="451" spans="1:9" s="2" customFormat="1" ht="21.75" customHeight="1">
      <c r="A451" s="8" t="s">
        <v>37</v>
      </c>
      <c r="B451" s="8" t="s">
        <v>39</v>
      </c>
      <c r="C451" s="9" t="str">
        <f t="shared" si="6"/>
        <v>230097</v>
      </c>
      <c r="D451" s="9" t="str">
        <f>"230914324"</f>
        <v>230914324</v>
      </c>
      <c r="E451" s="10">
        <v>69.62</v>
      </c>
      <c r="F451" s="10"/>
      <c r="G451" s="10">
        <v>70.48</v>
      </c>
      <c r="H451" s="10"/>
      <c r="I451" s="10">
        <v>70.14</v>
      </c>
    </row>
    <row r="452" spans="1:9" s="3" customFormat="1" ht="21.75" customHeight="1">
      <c r="A452" s="8" t="s">
        <v>37</v>
      </c>
      <c r="B452" s="8" t="s">
        <v>39</v>
      </c>
      <c r="C452" s="9" t="str">
        <f t="shared" si="6"/>
        <v>230097</v>
      </c>
      <c r="D452" s="9" t="str">
        <f>"230914515"</f>
        <v>230914515</v>
      </c>
      <c r="E452" s="10">
        <v>77.22</v>
      </c>
      <c r="F452" s="10"/>
      <c r="G452" s="10">
        <v>65.41</v>
      </c>
      <c r="H452" s="10"/>
      <c r="I452" s="10">
        <v>70.13</v>
      </c>
    </row>
    <row r="453" spans="1:9" s="2" customFormat="1" ht="21.75" customHeight="1">
      <c r="A453" s="8" t="s">
        <v>37</v>
      </c>
      <c r="B453" s="8" t="s">
        <v>39</v>
      </c>
      <c r="C453" s="9" t="str">
        <f t="shared" si="6"/>
        <v>230097</v>
      </c>
      <c r="D453" s="9" t="str">
        <f>"230913027"</f>
        <v>230913027</v>
      </c>
      <c r="E453" s="10">
        <v>71.819999999999993</v>
      </c>
      <c r="F453" s="10"/>
      <c r="G453" s="10">
        <v>68.97</v>
      </c>
      <c r="H453" s="10"/>
      <c r="I453" s="10">
        <v>70.11</v>
      </c>
    </row>
    <row r="454" spans="1:9" s="2" customFormat="1" ht="21.75" customHeight="1">
      <c r="A454" s="8" t="s">
        <v>37</v>
      </c>
      <c r="B454" s="8" t="s">
        <v>39</v>
      </c>
      <c r="C454" s="9" t="str">
        <f t="shared" ref="C454:C517" si="7">"230097"</f>
        <v>230097</v>
      </c>
      <c r="D454" s="9" t="str">
        <f>"230913415"</f>
        <v>230913415</v>
      </c>
      <c r="E454" s="10">
        <v>72.38</v>
      </c>
      <c r="F454" s="10"/>
      <c r="G454" s="10">
        <v>68.38</v>
      </c>
      <c r="H454" s="10"/>
      <c r="I454" s="10">
        <v>69.98</v>
      </c>
    </row>
    <row r="455" spans="1:9" s="3" customFormat="1" ht="21.75" customHeight="1">
      <c r="A455" s="8" t="s">
        <v>37</v>
      </c>
      <c r="B455" s="8" t="s">
        <v>39</v>
      </c>
      <c r="C455" s="9" t="str">
        <f t="shared" si="7"/>
        <v>230097</v>
      </c>
      <c r="D455" s="9" t="str">
        <f>"230912630"</f>
        <v>230912630</v>
      </c>
      <c r="E455" s="10">
        <v>72.959999999999994</v>
      </c>
      <c r="F455" s="10"/>
      <c r="G455" s="10">
        <v>67.599999999999994</v>
      </c>
      <c r="H455" s="10"/>
      <c r="I455" s="10">
        <v>69.739999999999995</v>
      </c>
    </row>
    <row r="456" spans="1:9" s="3" customFormat="1" ht="21.75" customHeight="1">
      <c r="A456" s="8" t="s">
        <v>37</v>
      </c>
      <c r="B456" s="8" t="s">
        <v>39</v>
      </c>
      <c r="C456" s="9" t="str">
        <f t="shared" si="7"/>
        <v>230097</v>
      </c>
      <c r="D456" s="9" t="str">
        <f>"230912705"</f>
        <v>230912705</v>
      </c>
      <c r="E456" s="10">
        <v>85.14</v>
      </c>
      <c r="F456" s="10"/>
      <c r="G456" s="10">
        <v>59.44</v>
      </c>
      <c r="H456" s="10"/>
      <c r="I456" s="10">
        <v>69.72</v>
      </c>
    </row>
    <row r="457" spans="1:9" s="3" customFormat="1" ht="21.75" customHeight="1">
      <c r="A457" s="8" t="s">
        <v>37</v>
      </c>
      <c r="B457" s="8" t="s">
        <v>39</v>
      </c>
      <c r="C457" s="9" t="str">
        <f t="shared" si="7"/>
        <v>230097</v>
      </c>
      <c r="D457" s="9" t="str">
        <f>"230913816"</f>
        <v>230913816</v>
      </c>
      <c r="E457" s="10">
        <v>75.38</v>
      </c>
      <c r="F457" s="10"/>
      <c r="G457" s="10">
        <v>65.92</v>
      </c>
      <c r="H457" s="10"/>
      <c r="I457" s="10">
        <v>69.7</v>
      </c>
    </row>
    <row r="458" spans="1:9" s="2" customFormat="1" ht="21.75" customHeight="1">
      <c r="A458" s="8" t="s">
        <v>37</v>
      </c>
      <c r="B458" s="8" t="s">
        <v>39</v>
      </c>
      <c r="C458" s="9" t="str">
        <f t="shared" si="7"/>
        <v>230097</v>
      </c>
      <c r="D458" s="9" t="str">
        <f>"230913526"</f>
        <v>230913526</v>
      </c>
      <c r="E458" s="10">
        <v>82.39</v>
      </c>
      <c r="F458" s="10"/>
      <c r="G458" s="10">
        <v>61.16</v>
      </c>
      <c r="H458" s="10"/>
      <c r="I458" s="10">
        <v>69.650000000000006</v>
      </c>
    </row>
    <row r="459" spans="1:9" s="3" customFormat="1" ht="21.75" customHeight="1">
      <c r="A459" s="8" t="s">
        <v>37</v>
      </c>
      <c r="B459" s="8" t="s">
        <v>39</v>
      </c>
      <c r="C459" s="9" t="str">
        <f t="shared" si="7"/>
        <v>230097</v>
      </c>
      <c r="D459" s="9" t="str">
        <f>"230913425"</f>
        <v>230913425</v>
      </c>
      <c r="E459" s="10">
        <v>71.569999999999993</v>
      </c>
      <c r="F459" s="10"/>
      <c r="G459" s="10">
        <v>68.209999999999994</v>
      </c>
      <c r="H459" s="10"/>
      <c r="I459" s="10">
        <v>69.55</v>
      </c>
    </row>
    <row r="460" spans="1:9" s="2" customFormat="1" ht="21.75" customHeight="1">
      <c r="A460" s="8" t="s">
        <v>37</v>
      </c>
      <c r="B460" s="8" t="s">
        <v>39</v>
      </c>
      <c r="C460" s="9" t="str">
        <f t="shared" si="7"/>
        <v>230097</v>
      </c>
      <c r="D460" s="9" t="str">
        <f>"230914502"</f>
        <v>230914502</v>
      </c>
      <c r="E460" s="10">
        <v>70.66</v>
      </c>
      <c r="F460" s="10"/>
      <c r="G460" s="10">
        <v>68.75</v>
      </c>
      <c r="H460" s="10"/>
      <c r="I460" s="10">
        <v>69.510000000000005</v>
      </c>
    </row>
    <row r="461" spans="1:9" s="3" customFormat="1" ht="21.75" customHeight="1">
      <c r="A461" s="8" t="s">
        <v>37</v>
      </c>
      <c r="B461" s="8" t="s">
        <v>39</v>
      </c>
      <c r="C461" s="9" t="str">
        <f t="shared" si="7"/>
        <v>230097</v>
      </c>
      <c r="D461" s="9" t="str">
        <f>"230912604"</f>
        <v>230912604</v>
      </c>
      <c r="E461" s="10">
        <v>68.819999999999993</v>
      </c>
      <c r="F461" s="10"/>
      <c r="G461" s="10">
        <v>69.36</v>
      </c>
      <c r="H461" s="10"/>
      <c r="I461" s="10">
        <v>69.14</v>
      </c>
    </row>
    <row r="462" spans="1:9" s="2" customFormat="1" ht="21.75" customHeight="1">
      <c r="A462" s="8" t="s">
        <v>37</v>
      </c>
      <c r="B462" s="8" t="s">
        <v>39</v>
      </c>
      <c r="C462" s="9" t="str">
        <f t="shared" si="7"/>
        <v>230097</v>
      </c>
      <c r="D462" s="9" t="str">
        <f>"230913704"</f>
        <v>230913704</v>
      </c>
      <c r="E462" s="10">
        <v>75.709999999999994</v>
      </c>
      <c r="F462" s="10"/>
      <c r="G462" s="10">
        <v>64.739999999999995</v>
      </c>
      <c r="H462" s="10"/>
      <c r="I462" s="10">
        <v>69.13</v>
      </c>
    </row>
    <row r="463" spans="1:9" s="2" customFormat="1" ht="21.75" customHeight="1">
      <c r="A463" s="8" t="s">
        <v>37</v>
      </c>
      <c r="B463" s="8" t="s">
        <v>39</v>
      </c>
      <c r="C463" s="9" t="str">
        <f t="shared" si="7"/>
        <v>230097</v>
      </c>
      <c r="D463" s="9" t="str">
        <f>"230913429"</f>
        <v>230913429</v>
      </c>
      <c r="E463" s="10">
        <v>70.33</v>
      </c>
      <c r="F463" s="10"/>
      <c r="G463" s="10">
        <v>68.22</v>
      </c>
      <c r="H463" s="10"/>
      <c r="I463" s="10">
        <v>69.06</v>
      </c>
    </row>
    <row r="464" spans="1:9" s="2" customFormat="1" ht="21.75" customHeight="1">
      <c r="A464" s="8" t="s">
        <v>37</v>
      </c>
      <c r="B464" s="8" t="s">
        <v>39</v>
      </c>
      <c r="C464" s="9" t="str">
        <f t="shared" si="7"/>
        <v>230097</v>
      </c>
      <c r="D464" s="9" t="str">
        <f>"230914121"</f>
        <v>230914121</v>
      </c>
      <c r="E464" s="10">
        <v>70.099999999999994</v>
      </c>
      <c r="F464" s="10"/>
      <c r="G464" s="10">
        <v>68.37</v>
      </c>
      <c r="H464" s="10"/>
      <c r="I464" s="10">
        <v>69.06</v>
      </c>
    </row>
    <row r="465" spans="1:9" s="3" customFormat="1" ht="21.75" customHeight="1">
      <c r="A465" s="8" t="s">
        <v>37</v>
      </c>
      <c r="B465" s="8" t="s">
        <v>39</v>
      </c>
      <c r="C465" s="9" t="str">
        <f t="shared" si="7"/>
        <v>230097</v>
      </c>
      <c r="D465" s="9" t="str">
        <f>"230913219"</f>
        <v>230913219</v>
      </c>
      <c r="E465" s="10">
        <v>74.58</v>
      </c>
      <c r="F465" s="10"/>
      <c r="G465" s="10">
        <v>65.34</v>
      </c>
      <c r="H465" s="10"/>
      <c r="I465" s="10">
        <v>69.040000000000006</v>
      </c>
    </row>
    <row r="466" spans="1:9" s="2" customFormat="1" ht="21.75" customHeight="1">
      <c r="A466" s="8" t="s">
        <v>37</v>
      </c>
      <c r="B466" s="8" t="s">
        <v>39</v>
      </c>
      <c r="C466" s="9" t="str">
        <f t="shared" si="7"/>
        <v>230097</v>
      </c>
      <c r="D466" s="9" t="str">
        <f>"230914122"</f>
        <v>230914122</v>
      </c>
      <c r="E466" s="10">
        <v>76.650000000000006</v>
      </c>
      <c r="F466" s="10"/>
      <c r="G466" s="10">
        <v>63.9</v>
      </c>
      <c r="H466" s="10"/>
      <c r="I466" s="10">
        <v>69</v>
      </c>
    </row>
    <row r="467" spans="1:9" s="2" customFormat="1" ht="21.75" customHeight="1">
      <c r="A467" s="8" t="s">
        <v>37</v>
      </c>
      <c r="B467" s="8" t="s">
        <v>39</v>
      </c>
      <c r="C467" s="9" t="str">
        <f t="shared" si="7"/>
        <v>230097</v>
      </c>
      <c r="D467" s="9" t="str">
        <f>"230913814"</f>
        <v>230913814</v>
      </c>
      <c r="E467" s="10">
        <v>73.67</v>
      </c>
      <c r="F467" s="10"/>
      <c r="G467" s="10">
        <v>65.64</v>
      </c>
      <c r="H467" s="10"/>
      <c r="I467" s="10">
        <v>68.849999999999994</v>
      </c>
    </row>
    <row r="468" spans="1:9" s="3" customFormat="1" ht="21.75" customHeight="1">
      <c r="A468" s="8" t="s">
        <v>37</v>
      </c>
      <c r="B468" s="8" t="s">
        <v>39</v>
      </c>
      <c r="C468" s="9" t="str">
        <f t="shared" si="7"/>
        <v>230097</v>
      </c>
      <c r="D468" s="9" t="str">
        <f>"230913017"</f>
        <v>230913017</v>
      </c>
      <c r="E468" s="10">
        <v>65.05</v>
      </c>
      <c r="F468" s="10"/>
      <c r="G468" s="10">
        <v>71.22</v>
      </c>
      <c r="H468" s="10"/>
      <c r="I468" s="10">
        <v>68.75</v>
      </c>
    </row>
    <row r="469" spans="1:9" s="3" customFormat="1" ht="21.75" customHeight="1">
      <c r="A469" s="8" t="s">
        <v>37</v>
      </c>
      <c r="B469" s="8" t="s">
        <v>39</v>
      </c>
      <c r="C469" s="9" t="str">
        <f t="shared" si="7"/>
        <v>230097</v>
      </c>
      <c r="D469" s="9" t="str">
        <f>"230912902"</f>
        <v>230912902</v>
      </c>
      <c r="E469" s="10">
        <v>66.63</v>
      </c>
      <c r="F469" s="10"/>
      <c r="G469" s="10">
        <v>70.08</v>
      </c>
      <c r="H469" s="10"/>
      <c r="I469" s="10">
        <v>68.7</v>
      </c>
    </row>
    <row r="470" spans="1:9" s="2" customFormat="1" ht="21.75" customHeight="1">
      <c r="A470" s="8" t="s">
        <v>37</v>
      </c>
      <c r="B470" s="8" t="s">
        <v>39</v>
      </c>
      <c r="C470" s="9" t="str">
        <f t="shared" si="7"/>
        <v>230097</v>
      </c>
      <c r="D470" s="9" t="str">
        <f>"230913307"</f>
        <v>230913307</v>
      </c>
      <c r="E470" s="10">
        <v>71.69</v>
      </c>
      <c r="F470" s="10"/>
      <c r="G470" s="10">
        <v>66.680000000000007</v>
      </c>
      <c r="H470" s="10"/>
      <c r="I470" s="10">
        <v>68.680000000000007</v>
      </c>
    </row>
    <row r="471" spans="1:9" s="3" customFormat="1" ht="21.75" customHeight="1">
      <c r="A471" s="8" t="s">
        <v>37</v>
      </c>
      <c r="B471" s="8" t="s">
        <v>39</v>
      </c>
      <c r="C471" s="9" t="str">
        <f t="shared" si="7"/>
        <v>230097</v>
      </c>
      <c r="D471" s="9" t="str">
        <f>"230913008"</f>
        <v>230913008</v>
      </c>
      <c r="E471" s="10">
        <v>77.69</v>
      </c>
      <c r="F471" s="10"/>
      <c r="G471" s="10">
        <v>62.63</v>
      </c>
      <c r="H471" s="10"/>
      <c r="I471" s="10">
        <v>68.650000000000006</v>
      </c>
    </row>
    <row r="472" spans="1:9" s="3" customFormat="1" ht="21.75" customHeight="1">
      <c r="A472" s="8" t="s">
        <v>37</v>
      </c>
      <c r="B472" s="8" t="s">
        <v>39</v>
      </c>
      <c r="C472" s="9" t="str">
        <f t="shared" si="7"/>
        <v>230097</v>
      </c>
      <c r="D472" s="9" t="str">
        <f>"230914228"</f>
        <v>230914228</v>
      </c>
      <c r="E472" s="10">
        <v>70.55</v>
      </c>
      <c r="F472" s="10"/>
      <c r="G472" s="10">
        <v>67.33</v>
      </c>
      <c r="H472" s="10"/>
      <c r="I472" s="10">
        <v>68.62</v>
      </c>
    </row>
    <row r="473" spans="1:9" s="2" customFormat="1" ht="21.75" customHeight="1">
      <c r="A473" s="8" t="s">
        <v>37</v>
      </c>
      <c r="B473" s="8" t="s">
        <v>39</v>
      </c>
      <c r="C473" s="9" t="str">
        <f t="shared" si="7"/>
        <v>230097</v>
      </c>
      <c r="D473" s="9" t="str">
        <f>"230913806"</f>
        <v>230913806</v>
      </c>
      <c r="E473" s="10">
        <v>67.900000000000006</v>
      </c>
      <c r="F473" s="10"/>
      <c r="G473" s="10">
        <v>69.05</v>
      </c>
      <c r="H473" s="10"/>
      <c r="I473" s="10">
        <v>68.59</v>
      </c>
    </row>
    <row r="474" spans="1:9" s="2" customFormat="1" ht="21.75" customHeight="1">
      <c r="A474" s="8" t="s">
        <v>37</v>
      </c>
      <c r="B474" s="8" t="s">
        <v>39</v>
      </c>
      <c r="C474" s="9" t="str">
        <f t="shared" si="7"/>
        <v>230097</v>
      </c>
      <c r="D474" s="9" t="str">
        <f>"230914017"</f>
        <v>230914017</v>
      </c>
      <c r="E474" s="10">
        <v>74.36</v>
      </c>
      <c r="F474" s="10"/>
      <c r="G474" s="10">
        <v>64.709999999999994</v>
      </c>
      <c r="H474" s="10"/>
      <c r="I474" s="10">
        <v>68.569999999999993</v>
      </c>
    </row>
    <row r="475" spans="1:9" s="3" customFormat="1" ht="21.75" customHeight="1">
      <c r="A475" s="8" t="s">
        <v>37</v>
      </c>
      <c r="B475" s="8" t="s">
        <v>39</v>
      </c>
      <c r="C475" s="9" t="str">
        <f t="shared" si="7"/>
        <v>230097</v>
      </c>
      <c r="D475" s="9" t="str">
        <f>"230914326"</f>
        <v>230914326</v>
      </c>
      <c r="E475" s="10">
        <v>72.510000000000005</v>
      </c>
      <c r="F475" s="10"/>
      <c r="G475" s="10">
        <v>65.5</v>
      </c>
      <c r="H475" s="10"/>
      <c r="I475" s="10">
        <v>68.3</v>
      </c>
    </row>
    <row r="476" spans="1:9" s="2" customFormat="1" ht="21.75" customHeight="1">
      <c r="A476" s="8" t="s">
        <v>37</v>
      </c>
      <c r="B476" s="8" t="s">
        <v>39</v>
      </c>
      <c r="C476" s="9" t="str">
        <f t="shared" si="7"/>
        <v>230097</v>
      </c>
      <c r="D476" s="9" t="str">
        <f>"230912620"</f>
        <v>230912620</v>
      </c>
      <c r="E476" s="10">
        <v>72.39</v>
      </c>
      <c r="F476" s="10"/>
      <c r="G476" s="10">
        <v>65.53</v>
      </c>
      <c r="H476" s="10"/>
      <c r="I476" s="10">
        <v>68.27</v>
      </c>
    </row>
    <row r="477" spans="1:9" s="2" customFormat="1" ht="21.75" customHeight="1">
      <c r="A477" s="8" t="s">
        <v>37</v>
      </c>
      <c r="B477" s="8" t="s">
        <v>39</v>
      </c>
      <c r="C477" s="9" t="str">
        <f t="shared" si="7"/>
        <v>230097</v>
      </c>
      <c r="D477" s="9" t="str">
        <f>"230912624"</f>
        <v>230912624</v>
      </c>
      <c r="E477" s="10">
        <v>73.66</v>
      </c>
      <c r="F477" s="10"/>
      <c r="G477" s="10">
        <v>64.59</v>
      </c>
      <c r="H477" s="10"/>
      <c r="I477" s="10">
        <v>68.22</v>
      </c>
    </row>
    <row r="478" spans="1:9" s="2" customFormat="1" ht="21.75" customHeight="1">
      <c r="A478" s="8" t="s">
        <v>37</v>
      </c>
      <c r="B478" s="8" t="s">
        <v>39</v>
      </c>
      <c r="C478" s="9" t="str">
        <f t="shared" si="7"/>
        <v>230097</v>
      </c>
      <c r="D478" s="9" t="str">
        <f>"230914424"</f>
        <v>230914424</v>
      </c>
      <c r="E478" s="10">
        <v>64.790000000000006</v>
      </c>
      <c r="F478" s="10"/>
      <c r="G478" s="10">
        <v>70.5</v>
      </c>
      <c r="H478" s="10"/>
      <c r="I478" s="10">
        <v>68.22</v>
      </c>
    </row>
    <row r="479" spans="1:9" s="3" customFormat="1" ht="21.75" customHeight="1">
      <c r="A479" s="8" t="s">
        <v>37</v>
      </c>
      <c r="B479" s="8" t="s">
        <v>39</v>
      </c>
      <c r="C479" s="9" t="str">
        <f t="shared" si="7"/>
        <v>230097</v>
      </c>
      <c r="D479" s="9" t="str">
        <f>"230914020"</f>
        <v>230914020</v>
      </c>
      <c r="E479" s="10">
        <v>71.58</v>
      </c>
      <c r="F479" s="10"/>
      <c r="G479" s="10">
        <v>65.739999999999995</v>
      </c>
      <c r="H479" s="10"/>
      <c r="I479" s="10">
        <v>68.08</v>
      </c>
    </row>
    <row r="480" spans="1:9" s="3" customFormat="1" ht="21.75" customHeight="1">
      <c r="A480" s="8" t="s">
        <v>37</v>
      </c>
      <c r="B480" s="8" t="s">
        <v>39</v>
      </c>
      <c r="C480" s="9" t="str">
        <f t="shared" si="7"/>
        <v>230097</v>
      </c>
      <c r="D480" s="9" t="str">
        <f>"230914404"</f>
        <v>230914404</v>
      </c>
      <c r="E480" s="10">
        <v>66.290000000000006</v>
      </c>
      <c r="F480" s="10"/>
      <c r="G480" s="10">
        <v>69.209999999999994</v>
      </c>
      <c r="H480" s="10"/>
      <c r="I480" s="10">
        <v>68.040000000000006</v>
      </c>
    </row>
    <row r="481" spans="1:9" s="3" customFormat="1" ht="21.75" customHeight="1">
      <c r="A481" s="8" t="s">
        <v>37</v>
      </c>
      <c r="B481" s="8" t="s">
        <v>39</v>
      </c>
      <c r="C481" s="9" t="str">
        <f t="shared" si="7"/>
        <v>230097</v>
      </c>
      <c r="D481" s="9" t="str">
        <f>"230914529"</f>
        <v>230914529</v>
      </c>
      <c r="E481" s="10">
        <v>74.92</v>
      </c>
      <c r="F481" s="10"/>
      <c r="G481" s="10">
        <v>63.39</v>
      </c>
      <c r="H481" s="10"/>
      <c r="I481" s="10">
        <v>68</v>
      </c>
    </row>
    <row r="482" spans="1:9" s="2" customFormat="1" ht="21.75" customHeight="1">
      <c r="A482" s="8" t="s">
        <v>37</v>
      </c>
      <c r="B482" s="8" t="s">
        <v>39</v>
      </c>
      <c r="C482" s="9" t="str">
        <f t="shared" si="7"/>
        <v>230097</v>
      </c>
      <c r="D482" s="9" t="str">
        <f>"230913512"</f>
        <v>230913512</v>
      </c>
      <c r="E482" s="10">
        <v>78.819999999999993</v>
      </c>
      <c r="F482" s="10"/>
      <c r="G482" s="10">
        <v>60.41</v>
      </c>
      <c r="H482" s="10"/>
      <c r="I482" s="10">
        <v>67.77</v>
      </c>
    </row>
    <row r="483" spans="1:9" s="2" customFormat="1" ht="21.75" customHeight="1">
      <c r="A483" s="8" t="s">
        <v>37</v>
      </c>
      <c r="B483" s="8" t="s">
        <v>39</v>
      </c>
      <c r="C483" s="9" t="str">
        <f t="shared" si="7"/>
        <v>230097</v>
      </c>
      <c r="D483" s="9" t="str">
        <f>"230913212"</f>
        <v>230913212</v>
      </c>
      <c r="E483" s="10">
        <v>69.17</v>
      </c>
      <c r="F483" s="10"/>
      <c r="G483" s="10">
        <v>66.819999999999993</v>
      </c>
      <c r="H483" s="10"/>
      <c r="I483" s="10">
        <v>67.760000000000005</v>
      </c>
    </row>
    <row r="484" spans="1:9" s="3" customFormat="1" ht="21.75" customHeight="1">
      <c r="A484" s="8" t="s">
        <v>37</v>
      </c>
      <c r="B484" s="8" t="s">
        <v>39</v>
      </c>
      <c r="C484" s="9" t="str">
        <f t="shared" si="7"/>
        <v>230097</v>
      </c>
      <c r="D484" s="9" t="str">
        <f>"230913002"</f>
        <v>230913002</v>
      </c>
      <c r="E484" s="10">
        <v>67.22</v>
      </c>
      <c r="F484" s="10"/>
      <c r="G484" s="10">
        <v>67.989999999999995</v>
      </c>
      <c r="H484" s="10"/>
      <c r="I484" s="10">
        <v>67.680000000000007</v>
      </c>
    </row>
    <row r="485" spans="1:9" s="2" customFormat="1" ht="21.75" customHeight="1">
      <c r="A485" s="8" t="s">
        <v>37</v>
      </c>
      <c r="B485" s="8" t="s">
        <v>39</v>
      </c>
      <c r="C485" s="9" t="str">
        <f t="shared" si="7"/>
        <v>230097</v>
      </c>
      <c r="D485" s="9" t="str">
        <f>"230913630"</f>
        <v>230913630</v>
      </c>
      <c r="E485" s="10">
        <v>66.06</v>
      </c>
      <c r="F485" s="10"/>
      <c r="G485" s="10">
        <v>68.709999999999994</v>
      </c>
      <c r="H485" s="10"/>
      <c r="I485" s="10">
        <v>67.650000000000006</v>
      </c>
    </row>
    <row r="486" spans="1:9" s="2" customFormat="1" ht="21.75" customHeight="1">
      <c r="A486" s="8" t="s">
        <v>37</v>
      </c>
      <c r="B486" s="8" t="s">
        <v>39</v>
      </c>
      <c r="C486" s="9" t="str">
        <f t="shared" si="7"/>
        <v>230097</v>
      </c>
      <c r="D486" s="9" t="str">
        <f>"230913729"</f>
        <v>230913729</v>
      </c>
      <c r="E486" s="10">
        <v>76.88</v>
      </c>
      <c r="F486" s="10"/>
      <c r="G486" s="10">
        <v>61.46</v>
      </c>
      <c r="H486" s="10"/>
      <c r="I486" s="10">
        <v>67.63</v>
      </c>
    </row>
    <row r="487" spans="1:9" s="2" customFormat="1" ht="21.75" customHeight="1">
      <c r="A487" s="8" t="s">
        <v>37</v>
      </c>
      <c r="B487" s="8" t="s">
        <v>39</v>
      </c>
      <c r="C487" s="9" t="str">
        <f t="shared" si="7"/>
        <v>230097</v>
      </c>
      <c r="D487" s="9" t="str">
        <f>"230914315"</f>
        <v>230914315</v>
      </c>
      <c r="E487" s="10">
        <v>71.349999999999994</v>
      </c>
      <c r="F487" s="10"/>
      <c r="G487" s="10">
        <v>65.150000000000006</v>
      </c>
      <c r="H487" s="10"/>
      <c r="I487" s="10">
        <v>67.63</v>
      </c>
    </row>
    <row r="488" spans="1:9" s="2" customFormat="1" ht="21.75" customHeight="1">
      <c r="A488" s="8" t="s">
        <v>37</v>
      </c>
      <c r="B488" s="8" t="s">
        <v>39</v>
      </c>
      <c r="C488" s="9" t="str">
        <f t="shared" si="7"/>
        <v>230097</v>
      </c>
      <c r="D488" s="9" t="str">
        <f>"230913820"</f>
        <v>230913820</v>
      </c>
      <c r="E488" s="10">
        <v>70.540000000000006</v>
      </c>
      <c r="F488" s="10"/>
      <c r="G488" s="10">
        <v>65.540000000000006</v>
      </c>
      <c r="H488" s="10"/>
      <c r="I488" s="10">
        <v>67.540000000000006</v>
      </c>
    </row>
    <row r="489" spans="1:9" s="2" customFormat="1" ht="21.75" customHeight="1">
      <c r="A489" s="8" t="s">
        <v>37</v>
      </c>
      <c r="B489" s="8" t="s">
        <v>39</v>
      </c>
      <c r="C489" s="9" t="str">
        <f t="shared" si="7"/>
        <v>230097</v>
      </c>
      <c r="D489" s="9" t="str">
        <f>"230914108"</f>
        <v>230914108</v>
      </c>
      <c r="E489" s="10">
        <v>71.819999999999993</v>
      </c>
      <c r="F489" s="10"/>
      <c r="G489" s="10">
        <v>64.69</v>
      </c>
      <c r="H489" s="10"/>
      <c r="I489" s="10">
        <v>67.540000000000006</v>
      </c>
    </row>
    <row r="490" spans="1:9" s="2" customFormat="1" ht="21.75" customHeight="1">
      <c r="A490" s="8" t="s">
        <v>37</v>
      </c>
      <c r="B490" s="8" t="s">
        <v>39</v>
      </c>
      <c r="C490" s="9" t="str">
        <f t="shared" si="7"/>
        <v>230097</v>
      </c>
      <c r="D490" s="9" t="str">
        <f>"230912727"</f>
        <v>230912727</v>
      </c>
      <c r="E490" s="10">
        <v>79.760000000000005</v>
      </c>
      <c r="F490" s="10"/>
      <c r="G490" s="10">
        <v>59.27</v>
      </c>
      <c r="H490" s="10"/>
      <c r="I490" s="10">
        <v>67.47</v>
      </c>
    </row>
    <row r="491" spans="1:9" s="2" customFormat="1" ht="21.75" customHeight="1">
      <c r="A491" s="8" t="s">
        <v>37</v>
      </c>
      <c r="B491" s="8" t="s">
        <v>39</v>
      </c>
      <c r="C491" s="9" t="str">
        <f t="shared" si="7"/>
        <v>230097</v>
      </c>
      <c r="D491" s="9" t="str">
        <f>"230914217"</f>
        <v>230914217</v>
      </c>
      <c r="E491" s="10">
        <v>72.16</v>
      </c>
      <c r="F491" s="10"/>
      <c r="G491" s="10">
        <v>64.33</v>
      </c>
      <c r="H491" s="10"/>
      <c r="I491" s="10">
        <v>67.459999999999994</v>
      </c>
    </row>
    <row r="492" spans="1:9" s="2" customFormat="1" ht="21.75" customHeight="1">
      <c r="A492" s="8" t="s">
        <v>37</v>
      </c>
      <c r="B492" s="8" t="s">
        <v>39</v>
      </c>
      <c r="C492" s="9" t="str">
        <f t="shared" si="7"/>
        <v>230097</v>
      </c>
      <c r="D492" s="9" t="str">
        <f>"230913613"</f>
        <v>230913613</v>
      </c>
      <c r="E492" s="10">
        <v>78.489999999999995</v>
      </c>
      <c r="F492" s="10"/>
      <c r="G492" s="10">
        <v>59.98</v>
      </c>
      <c r="H492" s="10"/>
      <c r="I492" s="10">
        <v>67.38</v>
      </c>
    </row>
    <row r="493" spans="1:9" s="2" customFormat="1" ht="21.75" customHeight="1">
      <c r="A493" s="8" t="s">
        <v>37</v>
      </c>
      <c r="B493" s="8" t="s">
        <v>39</v>
      </c>
      <c r="C493" s="9" t="str">
        <f t="shared" si="7"/>
        <v>230097</v>
      </c>
      <c r="D493" s="9" t="str">
        <f>"230914312"</f>
        <v>230914312</v>
      </c>
      <c r="E493" s="10">
        <v>77.790000000000006</v>
      </c>
      <c r="F493" s="10"/>
      <c r="G493" s="10">
        <v>60.34</v>
      </c>
      <c r="H493" s="10"/>
      <c r="I493" s="10">
        <v>67.319999999999993</v>
      </c>
    </row>
    <row r="494" spans="1:9" s="2" customFormat="1" ht="21.75" customHeight="1">
      <c r="A494" s="8" t="s">
        <v>37</v>
      </c>
      <c r="B494" s="8" t="s">
        <v>39</v>
      </c>
      <c r="C494" s="9" t="str">
        <f t="shared" si="7"/>
        <v>230097</v>
      </c>
      <c r="D494" s="9" t="str">
        <f>"230914120"</f>
        <v>230914120</v>
      </c>
      <c r="E494" s="10">
        <v>71.150000000000006</v>
      </c>
      <c r="F494" s="10"/>
      <c r="G494" s="10">
        <v>64.42</v>
      </c>
      <c r="H494" s="10"/>
      <c r="I494" s="10">
        <v>67.11</v>
      </c>
    </row>
    <row r="495" spans="1:9" s="2" customFormat="1" ht="21.75" customHeight="1">
      <c r="A495" s="8" t="s">
        <v>37</v>
      </c>
      <c r="B495" s="8" t="s">
        <v>39</v>
      </c>
      <c r="C495" s="9" t="str">
        <f t="shared" si="7"/>
        <v>230097</v>
      </c>
      <c r="D495" s="9" t="str">
        <f>"230913514"</f>
        <v>230913514</v>
      </c>
      <c r="E495" s="10">
        <v>59.28</v>
      </c>
      <c r="F495" s="10"/>
      <c r="G495" s="10">
        <v>72.180000000000007</v>
      </c>
      <c r="H495" s="10"/>
      <c r="I495" s="10">
        <v>67.02</v>
      </c>
    </row>
    <row r="496" spans="1:9" s="2" customFormat="1" ht="21.75" customHeight="1">
      <c r="A496" s="8" t="s">
        <v>37</v>
      </c>
      <c r="B496" s="8" t="s">
        <v>39</v>
      </c>
      <c r="C496" s="9" t="str">
        <f t="shared" si="7"/>
        <v>230097</v>
      </c>
      <c r="D496" s="9" t="str">
        <f>"230914530"</f>
        <v>230914530</v>
      </c>
      <c r="E496" s="10">
        <v>78.12</v>
      </c>
      <c r="F496" s="10"/>
      <c r="G496" s="10">
        <v>59.61</v>
      </c>
      <c r="H496" s="10"/>
      <c r="I496" s="10">
        <v>67.010000000000005</v>
      </c>
    </row>
    <row r="497" spans="1:9" s="2" customFormat="1" ht="21.75" customHeight="1">
      <c r="A497" s="8" t="s">
        <v>37</v>
      </c>
      <c r="B497" s="8" t="s">
        <v>39</v>
      </c>
      <c r="C497" s="9" t="str">
        <f t="shared" si="7"/>
        <v>230097</v>
      </c>
      <c r="D497" s="9" t="str">
        <f>"230913406"</f>
        <v>230913406</v>
      </c>
      <c r="E497" s="10">
        <v>79.16</v>
      </c>
      <c r="F497" s="10"/>
      <c r="G497" s="10">
        <v>58.72</v>
      </c>
      <c r="H497" s="10"/>
      <c r="I497" s="10">
        <v>66.900000000000006</v>
      </c>
    </row>
    <row r="498" spans="1:9" s="2" customFormat="1" ht="21.75" customHeight="1">
      <c r="A498" s="8" t="s">
        <v>37</v>
      </c>
      <c r="B498" s="8" t="s">
        <v>39</v>
      </c>
      <c r="C498" s="9" t="str">
        <f t="shared" si="7"/>
        <v>230097</v>
      </c>
      <c r="D498" s="9" t="str">
        <f>"230913312"</f>
        <v>230913312</v>
      </c>
      <c r="E498" s="10">
        <v>68.61</v>
      </c>
      <c r="F498" s="10"/>
      <c r="G498" s="10">
        <v>65.72</v>
      </c>
      <c r="H498" s="10"/>
      <c r="I498" s="10">
        <v>66.88</v>
      </c>
    </row>
    <row r="499" spans="1:9" s="2" customFormat="1" ht="21.75" customHeight="1">
      <c r="A499" s="8" t="s">
        <v>37</v>
      </c>
      <c r="B499" s="8" t="s">
        <v>39</v>
      </c>
      <c r="C499" s="9" t="str">
        <f t="shared" si="7"/>
        <v>230097</v>
      </c>
      <c r="D499" s="9" t="str">
        <f>"230914104"</f>
        <v>230914104</v>
      </c>
      <c r="E499" s="10">
        <v>69.73</v>
      </c>
      <c r="F499" s="10"/>
      <c r="G499" s="10">
        <v>64.88</v>
      </c>
      <c r="H499" s="10"/>
      <c r="I499" s="10">
        <v>66.819999999999993</v>
      </c>
    </row>
    <row r="500" spans="1:9" s="2" customFormat="1" ht="21.75" customHeight="1">
      <c r="A500" s="8" t="s">
        <v>37</v>
      </c>
      <c r="B500" s="8" t="s">
        <v>39</v>
      </c>
      <c r="C500" s="9" t="str">
        <f t="shared" si="7"/>
        <v>230097</v>
      </c>
      <c r="D500" s="9" t="str">
        <f>"230914523"</f>
        <v>230914523</v>
      </c>
      <c r="E500" s="10">
        <v>66.16</v>
      </c>
      <c r="F500" s="10"/>
      <c r="G500" s="10">
        <v>67.25</v>
      </c>
      <c r="H500" s="10"/>
      <c r="I500" s="10">
        <v>66.81</v>
      </c>
    </row>
    <row r="501" spans="1:9" s="2" customFormat="1" ht="21.75" customHeight="1">
      <c r="A501" s="8" t="s">
        <v>37</v>
      </c>
      <c r="B501" s="8" t="s">
        <v>39</v>
      </c>
      <c r="C501" s="9" t="str">
        <f t="shared" si="7"/>
        <v>230097</v>
      </c>
      <c r="D501" s="9" t="str">
        <f>"230912724"</f>
        <v>230912724</v>
      </c>
      <c r="E501" s="10">
        <v>62.96</v>
      </c>
      <c r="F501" s="10"/>
      <c r="G501" s="10">
        <v>69.36</v>
      </c>
      <c r="H501" s="10"/>
      <c r="I501" s="10">
        <v>66.8</v>
      </c>
    </row>
    <row r="502" spans="1:9" s="3" customFormat="1" ht="21.75" customHeight="1">
      <c r="A502" s="8" t="s">
        <v>37</v>
      </c>
      <c r="B502" s="8" t="s">
        <v>39</v>
      </c>
      <c r="C502" s="9" t="str">
        <f t="shared" si="7"/>
        <v>230097</v>
      </c>
      <c r="D502" s="9" t="str">
        <f>"230913014"</f>
        <v>230913014</v>
      </c>
      <c r="E502" s="10">
        <v>71.58</v>
      </c>
      <c r="F502" s="10"/>
      <c r="G502" s="10">
        <v>63.57</v>
      </c>
      <c r="H502" s="10"/>
      <c r="I502" s="10">
        <v>66.77</v>
      </c>
    </row>
    <row r="503" spans="1:9" s="2" customFormat="1" ht="21.75" customHeight="1">
      <c r="A503" s="8" t="s">
        <v>37</v>
      </c>
      <c r="B503" s="8" t="s">
        <v>39</v>
      </c>
      <c r="C503" s="9" t="str">
        <f t="shared" si="7"/>
        <v>230097</v>
      </c>
      <c r="D503" s="9" t="str">
        <f>"230912924"</f>
        <v>230912924</v>
      </c>
      <c r="E503" s="10">
        <v>72.38</v>
      </c>
      <c r="F503" s="10"/>
      <c r="G503" s="10">
        <v>62.99</v>
      </c>
      <c r="H503" s="10"/>
      <c r="I503" s="10">
        <v>66.75</v>
      </c>
    </row>
    <row r="504" spans="1:9" s="2" customFormat="1" ht="21.75" customHeight="1">
      <c r="A504" s="8" t="s">
        <v>37</v>
      </c>
      <c r="B504" s="8" t="s">
        <v>39</v>
      </c>
      <c r="C504" s="9" t="str">
        <f t="shared" si="7"/>
        <v>230097</v>
      </c>
      <c r="D504" s="9" t="str">
        <f>"230914019"</f>
        <v>230914019</v>
      </c>
      <c r="E504" s="10">
        <v>69.27</v>
      </c>
      <c r="F504" s="10"/>
      <c r="G504" s="10">
        <v>65.06</v>
      </c>
      <c r="H504" s="10"/>
      <c r="I504" s="10">
        <v>66.739999999999995</v>
      </c>
    </row>
    <row r="505" spans="1:9" s="2" customFormat="1" ht="21.75" customHeight="1">
      <c r="A505" s="8" t="s">
        <v>37</v>
      </c>
      <c r="B505" s="8" t="s">
        <v>39</v>
      </c>
      <c r="C505" s="9" t="str">
        <f t="shared" si="7"/>
        <v>230097</v>
      </c>
      <c r="D505" s="9" t="str">
        <f>"230912627"</f>
        <v>230912627</v>
      </c>
      <c r="E505" s="10">
        <v>73.53</v>
      </c>
      <c r="F505" s="10"/>
      <c r="G505" s="10">
        <v>61.93</v>
      </c>
      <c r="H505" s="10"/>
      <c r="I505" s="10">
        <v>66.569999999999993</v>
      </c>
    </row>
    <row r="506" spans="1:9" s="2" customFormat="1" ht="21.75" customHeight="1">
      <c r="A506" s="8" t="s">
        <v>37</v>
      </c>
      <c r="B506" s="8" t="s">
        <v>39</v>
      </c>
      <c r="C506" s="9" t="str">
        <f t="shared" si="7"/>
        <v>230097</v>
      </c>
      <c r="D506" s="9" t="str">
        <f>"230914512"</f>
        <v>230914512</v>
      </c>
      <c r="E506" s="10">
        <v>73.56</v>
      </c>
      <c r="F506" s="10"/>
      <c r="G506" s="10">
        <v>61.91</v>
      </c>
      <c r="H506" s="10"/>
      <c r="I506" s="10">
        <v>66.569999999999993</v>
      </c>
    </row>
    <row r="507" spans="1:9" s="3" customFormat="1" ht="21.75" customHeight="1">
      <c r="A507" s="8" t="s">
        <v>37</v>
      </c>
      <c r="B507" s="8" t="s">
        <v>39</v>
      </c>
      <c r="C507" s="9" t="str">
        <f t="shared" si="7"/>
        <v>230097</v>
      </c>
      <c r="D507" s="9" t="str">
        <f>"230913730"</f>
        <v>230913730</v>
      </c>
      <c r="E507" s="10">
        <v>69.739999999999995</v>
      </c>
      <c r="F507" s="10"/>
      <c r="G507" s="10">
        <v>64.37</v>
      </c>
      <c r="H507" s="10"/>
      <c r="I507" s="10">
        <v>66.52</v>
      </c>
    </row>
    <row r="508" spans="1:9" s="2" customFormat="1" ht="21.75" customHeight="1">
      <c r="A508" s="8" t="s">
        <v>37</v>
      </c>
      <c r="B508" s="8" t="s">
        <v>39</v>
      </c>
      <c r="C508" s="9" t="str">
        <f t="shared" si="7"/>
        <v>230097</v>
      </c>
      <c r="D508" s="9" t="str">
        <f>"230912824"</f>
        <v>230912824</v>
      </c>
      <c r="E508" s="10">
        <v>69.61</v>
      </c>
      <c r="F508" s="10"/>
      <c r="G508" s="10">
        <v>64.38</v>
      </c>
      <c r="H508" s="10"/>
      <c r="I508" s="10">
        <v>66.47</v>
      </c>
    </row>
    <row r="509" spans="1:9" s="3" customFormat="1" ht="21.75" customHeight="1">
      <c r="A509" s="8" t="s">
        <v>37</v>
      </c>
      <c r="B509" s="8" t="s">
        <v>39</v>
      </c>
      <c r="C509" s="9" t="str">
        <f t="shared" si="7"/>
        <v>230097</v>
      </c>
      <c r="D509" s="9" t="str">
        <f>"230914507"</f>
        <v>230914507</v>
      </c>
      <c r="E509" s="10">
        <v>79.069999999999993</v>
      </c>
      <c r="F509" s="10"/>
      <c r="G509" s="10">
        <v>58.06</v>
      </c>
      <c r="H509" s="10"/>
      <c r="I509" s="10">
        <v>66.459999999999994</v>
      </c>
    </row>
    <row r="510" spans="1:9" s="2" customFormat="1" ht="21.75" customHeight="1">
      <c r="A510" s="8" t="s">
        <v>37</v>
      </c>
      <c r="B510" s="8" t="s">
        <v>39</v>
      </c>
      <c r="C510" s="9" t="str">
        <f t="shared" si="7"/>
        <v>230097</v>
      </c>
      <c r="D510" s="9" t="str">
        <f>"230914525"</f>
        <v>230914525</v>
      </c>
      <c r="E510" s="10">
        <v>68.95</v>
      </c>
      <c r="F510" s="10"/>
      <c r="G510" s="10">
        <v>64.569999999999993</v>
      </c>
      <c r="H510" s="10"/>
      <c r="I510" s="10">
        <v>66.319999999999993</v>
      </c>
    </row>
    <row r="511" spans="1:9" s="2" customFormat="1" ht="21.75" customHeight="1">
      <c r="A511" s="8" t="s">
        <v>37</v>
      </c>
      <c r="B511" s="8" t="s">
        <v>39</v>
      </c>
      <c r="C511" s="9" t="str">
        <f t="shared" si="7"/>
        <v>230097</v>
      </c>
      <c r="D511" s="9" t="str">
        <f>"230912823"</f>
        <v>230912823</v>
      </c>
      <c r="E511" s="10">
        <v>70.319999999999993</v>
      </c>
      <c r="F511" s="10"/>
      <c r="G511" s="10">
        <v>63.47</v>
      </c>
      <c r="H511" s="10"/>
      <c r="I511" s="10">
        <v>66.209999999999994</v>
      </c>
    </row>
    <row r="512" spans="1:9" s="2" customFormat="1" ht="21.75" customHeight="1">
      <c r="A512" s="8" t="s">
        <v>37</v>
      </c>
      <c r="B512" s="8" t="s">
        <v>39</v>
      </c>
      <c r="C512" s="9" t="str">
        <f t="shared" si="7"/>
        <v>230097</v>
      </c>
      <c r="D512" s="9" t="str">
        <f>"230913230"</f>
        <v>230913230</v>
      </c>
      <c r="E512" s="10">
        <v>73.53</v>
      </c>
      <c r="F512" s="10"/>
      <c r="G512" s="10">
        <v>61.29</v>
      </c>
      <c r="H512" s="10"/>
      <c r="I512" s="10">
        <v>66.19</v>
      </c>
    </row>
    <row r="513" spans="1:9" s="3" customFormat="1" ht="21.75" customHeight="1">
      <c r="A513" s="8" t="s">
        <v>37</v>
      </c>
      <c r="B513" s="8" t="s">
        <v>39</v>
      </c>
      <c r="C513" s="9" t="str">
        <f t="shared" si="7"/>
        <v>230097</v>
      </c>
      <c r="D513" s="9" t="str">
        <f>"230913528"</f>
        <v>230913528</v>
      </c>
      <c r="E513" s="10">
        <v>71.8</v>
      </c>
      <c r="F513" s="10"/>
      <c r="G513" s="10">
        <v>62.4</v>
      </c>
      <c r="H513" s="10"/>
      <c r="I513" s="10">
        <v>66.16</v>
      </c>
    </row>
    <row r="514" spans="1:9" s="3" customFormat="1" ht="21.75" customHeight="1">
      <c r="A514" s="8" t="s">
        <v>37</v>
      </c>
      <c r="B514" s="8" t="s">
        <v>39</v>
      </c>
      <c r="C514" s="9" t="str">
        <f t="shared" si="7"/>
        <v>230097</v>
      </c>
      <c r="D514" s="9" t="str">
        <f>"230913009"</f>
        <v>230913009</v>
      </c>
      <c r="E514" s="10">
        <v>79.180000000000007</v>
      </c>
      <c r="F514" s="10"/>
      <c r="G514" s="10">
        <v>57.46</v>
      </c>
      <c r="H514" s="10"/>
      <c r="I514" s="10">
        <v>66.150000000000006</v>
      </c>
    </row>
    <row r="515" spans="1:9" s="2" customFormat="1" ht="21.75" customHeight="1">
      <c r="A515" s="8" t="s">
        <v>37</v>
      </c>
      <c r="B515" s="8" t="s">
        <v>39</v>
      </c>
      <c r="C515" s="9" t="str">
        <f t="shared" si="7"/>
        <v>230097</v>
      </c>
      <c r="D515" s="9" t="str">
        <f>"230913913"</f>
        <v>230913913</v>
      </c>
      <c r="E515" s="10">
        <v>66.17</v>
      </c>
      <c r="F515" s="10"/>
      <c r="G515" s="10">
        <v>65.98</v>
      </c>
      <c r="H515" s="10"/>
      <c r="I515" s="10">
        <v>66.06</v>
      </c>
    </row>
    <row r="516" spans="1:9" s="2" customFormat="1" ht="21.75" customHeight="1">
      <c r="A516" s="8" t="s">
        <v>37</v>
      </c>
      <c r="B516" s="8" t="s">
        <v>39</v>
      </c>
      <c r="C516" s="9" t="str">
        <f t="shared" si="7"/>
        <v>230097</v>
      </c>
      <c r="D516" s="9" t="str">
        <f>"230913520"</f>
        <v>230913520</v>
      </c>
      <c r="E516" s="10">
        <v>66.209999999999994</v>
      </c>
      <c r="F516" s="10"/>
      <c r="G516" s="10">
        <v>65.930000000000007</v>
      </c>
      <c r="H516" s="10"/>
      <c r="I516" s="10">
        <v>66.040000000000006</v>
      </c>
    </row>
    <row r="517" spans="1:9" s="3" customFormat="1" ht="21.75" customHeight="1">
      <c r="A517" s="8" t="s">
        <v>37</v>
      </c>
      <c r="B517" s="8" t="s">
        <v>39</v>
      </c>
      <c r="C517" s="9" t="str">
        <f t="shared" si="7"/>
        <v>230097</v>
      </c>
      <c r="D517" s="9" t="str">
        <f>"230913925"</f>
        <v>230913925</v>
      </c>
      <c r="E517" s="10">
        <v>70.900000000000006</v>
      </c>
      <c r="F517" s="10"/>
      <c r="G517" s="10">
        <v>62.64</v>
      </c>
      <c r="H517" s="10"/>
      <c r="I517" s="10">
        <v>65.94</v>
      </c>
    </row>
    <row r="518" spans="1:9" s="2" customFormat="1" ht="21.75" customHeight="1">
      <c r="A518" s="8" t="s">
        <v>37</v>
      </c>
      <c r="B518" s="8" t="s">
        <v>39</v>
      </c>
      <c r="C518" s="9" t="str">
        <f t="shared" ref="C518:C581" si="8">"230097"</f>
        <v>230097</v>
      </c>
      <c r="D518" s="9" t="str">
        <f>"230913702"</f>
        <v>230913702</v>
      </c>
      <c r="E518" s="10">
        <v>71.48</v>
      </c>
      <c r="F518" s="10"/>
      <c r="G518" s="10">
        <v>62.16</v>
      </c>
      <c r="H518" s="10"/>
      <c r="I518" s="10">
        <v>65.89</v>
      </c>
    </row>
    <row r="519" spans="1:9" s="2" customFormat="1" ht="21.75" customHeight="1">
      <c r="A519" s="8" t="s">
        <v>37</v>
      </c>
      <c r="B519" s="8" t="s">
        <v>39</v>
      </c>
      <c r="C519" s="9" t="str">
        <f t="shared" si="8"/>
        <v>230097</v>
      </c>
      <c r="D519" s="9" t="str">
        <f>"230914209"</f>
        <v>230914209</v>
      </c>
      <c r="E519" s="10">
        <v>73.3</v>
      </c>
      <c r="F519" s="10"/>
      <c r="G519" s="10">
        <v>60.89</v>
      </c>
      <c r="H519" s="10"/>
      <c r="I519" s="10">
        <v>65.849999999999994</v>
      </c>
    </row>
    <row r="520" spans="1:9" s="3" customFormat="1" ht="21.75" customHeight="1">
      <c r="A520" s="8" t="s">
        <v>37</v>
      </c>
      <c r="B520" s="8" t="s">
        <v>39</v>
      </c>
      <c r="C520" s="9" t="str">
        <f t="shared" si="8"/>
        <v>230097</v>
      </c>
      <c r="D520" s="9" t="str">
        <f>"230913130"</f>
        <v>230913130</v>
      </c>
      <c r="E520" s="10">
        <v>73.66</v>
      </c>
      <c r="F520" s="10"/>
      <c r="G520" s="10">
        <v>60.37</v>
      </c>
      <c r="H520" s="10"/>
      <c r="I520" s="10">
        <v>65.69</v>
      </c>
    </row>
    <row r="521" spans="1:9" s="2" customFormat="1" ht="21.75" customHeight="1">
      <c r="A521" s="8" t="s">
        <v>37</v>
      </c>
      <c r="B521" s="8" t="s">
        <v>39</v>
      </c>
      <c r="C521" s="9" t="str">
        <f t="shared" si="8"/>
        <v>230097</v>
      </c>
      <c r="D521" s="9" t="str">
        <f>"230912611"</f>
        <v>230912611</v>
      </c>
      <c r="E521" s="10">
        <v>73.08</v>
      </c>
      <c r="F521" s="10"/>
      <c r="G521" s="10">
        <v>60.73</v>
      </c>
      <c r="H521" s="10"/>
      <c r="I521" s="10">
        <v>65.67</v>
      </c>
    </row>
    <row r="522" spans="1:9" s="2" customFormat="1" ht="21.75" customHeight="1">
      <c r="A522" s="8" t="s">
        <v>37</v>
      </c>
      <c r="B522" s="8" t="s">
        <v>39</v>
      </c>
      <c r="C522" s="9" t="str">
        <f t="shared" si="8"/>
        <v>230097</v>
      </c>
      <c r="D522" s="9" t="str">
        <f>"230913028"</f>
        <v>230913028</v>
      </c>
      <c r="E522" s="10">
        <v>76.06</v>
      </c>
      <c r="F522" s="10"/>
      <c r="G522" s="10">
        <v>58.75</v>
      </c>
      <c r="H522" s="10"/>
      <c r="I522" s="10">
        <v>65.67</v>
      </c>
    </row>
    <row r="523" spans="1:9" s="2" customFormat="1" ht="21.75" customHeight="1">
      <c r="A523" s="8" t="s">
        <v>37</v>
      </c>
      <c r="B523" s="8" t="s">
        <v>39</v>
      </c>
      <c r="C523" s="9" t="str">
        <f t="shared" si="8"/>
        <v>230097</v>
      </c>
      <c r="D523" s="9" t="str">
        <f>"230914311"</f>
        <v>230914311</v>
      </c>
      <c r="E523" s="10">
        <v>64.790000000000006</v>
      </c>
      <c r="F523" s="10"/>
      <c r="G523" s="10">
        <v>66.25</v>
      </c>
      <c r="H523" s="10"/>
      <c r="I523" s="10">
        <v>65.67</v>
      </c>
    </row>
    <row r="524" spans="1:9" s="2" customFormat="1" ht="21.75" customHeight="1">
      <c r="A524" s="8" t="s">
        <v>37</v>
      </c>
      <c r="B524" s="8" t="s">
        <v>39</v>
      </c>
      <c r="C524" s="9" t="str">
        <f t="shared" si="8"/>
        <v>230097</v>
      </c>
      <c r="D524" s="9" t="str">
        <f>"230914010"</f>
        <v>230914010</v>
      </c>
      <c r="E524" s="10">
        <v>75.48</v>
      </c>
      <c r="F524" s="10"/>
      <c r="G524" s="10">
        <v>58.85</v>
      </c>
      <c r="H524" s="10"/>
      <c r="I524" s="10">
        <v>65.5</v>
      </c>
    </row>
    <row r="525" spans="1:9" s="2" customFormat="1" ht="21.75" customHeight="1">
      <c r="A525" s="8" t="s">
        <v>37</v>
      </c>
      <c r="B525" s="8" t="s">
        <v>39</v>
      </c>
      <c r="C525" s="9" t="str">
        <f t="shared" si="8"/>
        <v>230097</v>
      </c>
      <c r="D525" s="9" t="str">
        <f>"230912712"</f>
        <v>230912712</v>
      </c>
      <c r="E525" s="10">
        <v>68.48</v>
      </c>
      <c r="F525" s="10"/>
      <c r="G525" s="10">
        <v>63.49</v>
      </c>
      <c r="H525" s="10"/>
      <c r="I525" s="10">
        <v>65.489999999999995</v>
      </c>
    </row>
    <row r="526" spans="1:9" s="2" customFormat="1" ht="21.75" customHeight="1">
      <c r="A526" s="8" t="s">
        <v>37</v>
      </c>
      <c r="B526" s="8" t="s">
        <v>39</v>
      </c>
      <c r="C526" s="9" t="str">
        <f t="shared" si="8"/>
        <v>230097</v>
      </c>
      <c r="D526" s="9" t="str">
        <f>"230913511"</f>
        <v>230913511</v>
      </c>
      <c r="E526" s="10">
        <v>78.05</v>
      </c>
      <c r="F526" s="10"/>
      <c r="G526" s="10">
        <v>57.07</v>
      </c>
      <c r="H526" s="10"/>
      <c r="I526" s="10">
        <v>65.459999999999994</v>
      </c>
    </row>
    <row r="527" spans="1:9" s="3" customFormat="1" ht="21.75" customHeight="1">
      <c r="A527" s="8" t="s">
        <v>37</v>
      </c>
      <c r="B527" s="8" t="s">
        <v>39</v>
      </c>
      <c r="C527" s="9" t="str">
        <f t="shared" si="8"/>
        <v>230097</v>
      </c>
      <c r="D527" s="9" t="str">
        <f>"230914410"</f>
        <v>230914410</v>
      </c>
      <c r="E527" s="10">
        <v>64.45</v>
      </c>
      <c r="F527" s="10"/>
      <c r="G527" s="10">
        <v>66.13</v>
      </c>
      <c r="H527" s="10"/>
      <c r="I527" s="10">
        <v>65.459999999999994</v>
      </c>
    </row>
    <row r="528" spans="1:9" s="2" customFormat="1" ht="21.75" customHeight="1">
      <c r="A528" s="8" t="s">
        <v>37</v>
      </c>
      <c r="B528" s="8" t="s">
        <v>39</v>
      </c>
      <c r="C528" s="9" t="str">
        <f t="shared" si="8"/>
        <v>230097</v>
      </c>
      <c r="D528" s="9" t="str">
        <f>"230914327"</f>
        <v>230914327</v>
      </c>
      <c r="E528" s="10">
        <v>68.48</v>
      </c>
      <c r="F528" s="10"/>
      <c r="G528" s="10">
        <v>63.42</v>
      </c>
      <c r="H528" s="10"/>
      <c r="I528" s="10">
        <v>65.44</v>
      </c>
    </row>
    <row r="529" spans="1:9" s="2" customFormat="1" ht="21.75" customHeight="1">
      <c r="A529" s="8" t="s">
        <v>37</v>
      </c>
      <c r="B529" s="8" t="s">
        <v>39</v>
      </c>
      <c r="C529" s="9" t="str">
        <f t="shared" si="8"/>
        <v>230097</v>
      </c>
      <c r="D529" s="9" t="str">
        <f>"230912529"</f>
        <v>230912529</v>
      </c>
      <c r="E529" s="10">
        <v>64.8</v>
      </c>
      <c r="F529" s="10"/>
      <c r="G529" s="10">
        <v>65.75</v>
      </c>
      <c r="H529" s="10"/>
      <c r="I529" s="10">
        <v>65.37</v>
      </c>
    </row>
    <row r="530" spans="1:9" s="3" customFormat="1" ht="21.75" customHeight="1">
      <c r="A530" s="8" t="s">
        <v>37</v>
      </c>
      <c r="B530" s="8" t="s">
        <v>39</v>
      </c>
      <c r="C530" s="9" t="str">
        <f t="shared" si="8"/>
        <v>230097</v>
      </c>
      <c r="D530" s="9" t="str">
        <f>"230914018"</f>
        <v>230914018</v>
      </c>
      <c r="E530" s="10">
        <v>76.3</v>
      </c>
      <c r="F530" s="10"/>
      <c r="G530" s="10">
        <v>58.05</v>
      </c>
      <c r="H530" s="10"/>
      <c r="I530" s="10">
        <v>65.349999999999994</v>
      </c>
    </row>
    <row r="531" spans="1:9" s="2" customFormat="1" ht="21.75" customHeight="1">
      <c r="A531" s="8" t="s">
        <v>37</v>
      </c>
      <c r="B531" s="8" t="s">
        <v>39</v>
      </c>
      <c r="C531" s="9" t="str">
        <f t="shared" si="8"/>
        <v>230097</v>
      </c>
      <c r="D531" s="9" t="str">
        <f>"230913310"</f>
        <v>230913310</v>
      </c>
      <c r="E531" s="10">
        <v>72.040000000000006</v>
      </c>
      <c r="F531" s="10"/>
      <c r="G531" s="10">
        <v>60.77</v>
      </c>
      <c r="H531" s="10"/>
      <c r="I531" s="10">
        <v>65.28</v>
      </c>
    </row>
    <row r="532" spans="1:9" s="2" customFormat="1" ht="21.75" customHeight="1">
      <c r="A532" s="8" t="s">
        <v>37</v>
      </c>
      <c r="B532" s="8" t="s">
        <v>39</v>
      </c>
      <c r="C532" s="9" t="str">
        <f t="shared" si="8"/>
        <v>230097</v>
      </c>
      <c r="D532" s="9" t="str">
        <f>"230912729"</f>
        <v>230912729</v>
      </c>
      <c r="E532" s="10">
        <v>72.150000000000006</v>
      </c>
      <c r="F532" s="10"/>
      <c r="G532" s="10">
        <v>60.46</v>
      </c>
      <c r="H532" s="10"/>
      <c r="I532" s="10">
        <v>65.14</v>
      </c>
    </row>
    <row r="533" spans="1:9" s="2" customFormat="1" ht="21.75" customHeight="1">
      <c r="A533" s="8" t="s">
        <v>37</v>
      </c>
      <c r="B533" s="8" t="s">
        <v>39</v>
      </c>
      <c r="C533" s="9" t="str">
        <f t="shared" si="8"/>
        <v>230097</v>
      </c>
      <c r="D533" s="9" t="str">
        <f>"230913216"</f>
        <v>230913216</v>
      </c>
      <c r="E533" s="10">
        <v>69.28</v>
      </c>
      <c r="F533" s="10"/>
      <c r="G533" s="10">
        <v>62.37</v>
      </c>
      <c r="H533" s="10"/>
      <c r="I533" s="10">
        <v>65.13</v>
      </c>
    </row>
    <row r="534" spans="1:9" s="2" customFormat="1" ht="21.75" customHeight="1">
      <c r="A534" s="8" t="s">
        <v>37</v>
      </c>
      <c r="B534" s="8" t="s">
        <v>39</v>
      </c>
      <c r="C534" s="9" t="str">
        <f t="shared" si="8"/>
        <v>230097</v>
      </c>
      <c r="D534" s="9" t="str">
        <f>"230912809"</f>
        <v>230912809</v>
      </c>
      <c r="E534" s="10">
        <v>74.25</v>
      </c>
      <c r="F534" s="10"/>
      <c r="G534" s="10">
        <v>58.96</v>
      </c>
      <c r="H534" s="10"/>
      <c r="I534" s="10">
        <v>65.08</v>
      </c>
    </row>
    <row r="535" spans="1:9" s="3" customFormat="1" ht="21.75" customHeight="1">
      <c r="A535" s="8" t="s">
        <v>37</v>
      </c>
      <c r="B535" s="8" t="s">
        <v>39</v>
      </c>
      <c r="C535" s="9" t="str">
        <f t="shared" si="8"/>
        <v>230097</v>
      </c>
      <c r="D535" s="9" t="str">
        <f>"230912807"</f>
        <v>230912807</v>
      </c>
      <c r="E535" s="10">
        <v>67.34</v>
      </c>
      <c r="F535" s="10"/>
      <c r="G535" s="10">
        <v>63.5</v>
      </c>
      <c r="H535" s="10"/>
      <c r="I535" s="10">
        <v>65.040000000000006</v>
      </c>
    </row>
    <row r="536" spans="1:9" s="2" customFormat="1" ht="21.75" customHeight="1">
      <c r="A536" s="8" t="s">
        <v>37</v>
      </c>
      <c r="B536" s="8" t="s">
        <v>39</v>
      </c>
      <c r="C536" s="9" t="str">
        <f t="shared" si="8"/>
        <v>230097</v>
      </c>
      <c r="D536" s="9" t="str">
        <f>"230912819"</f>
        <v>230912819</v>
      </c>
      <c r="E536" s="10">
        <v>59.49</v>
      </c>
      <c r="F536" s="10"/>
      <c r="G536" s="10">
        <v>68.650000000000006</v>
      </c>
      <c r="H536" s="10"/>
      <c r="I536" s="10">
        <v>64.989999999999995</v>
      </c>
    </row>
    <row r="537" spans="1:9" s="2" customFormat="1" ht="21.75" customHeight="1">
      <c r="A537" s="8" t="s">
        <v>37</v>
      </c>
      <c r="B537" s="8" t="s">
        <v>39</v>
      </c>
      <c r="C537" s="9" t="str">
        <f t="shared" si="8"/>
        <v>230097</v>
      </c>
      <c r="D537" s="9" t="str">
        <f>"230913329"</f>
        <v>230913329</v>
      </c>
      <c r="E537" s="10">
        <v>74.23</v>
      </c>
      <c r="F537" s="10"/>
      <c r="G537" s="10">
        <v>58.76</v>
      </c>
      <c r="H537" s="10"/>
      <c r="I537" s="10">
        <v>64.95</v>
      </c>
    </row>
    <row r="538" spans="1:9" s="3" customFormat="1" ht="21.75" customHeight="1">
      <c r="A538" s="8" t="s">
        <v>37</v>
      </c>
      <c r="B538" s="8" t="s">
        <v>39</v>
      </c>
      <c r="C538" s="9" t="str">
        <f t="shared" si="8"/>
        <v>230097</v>
      </c>
      <c r="D538" s="9" t="str">
        <f>"230914016"</f>
        <v>230914016</v>
      </c>
      <c r="E538" s="10">
        <v>70.88</v>
      </c>
      <c r="F538" s="10"/>
      <c r="G538" s="10">
        <v>60.82</v>
      </c>
      <c r="H538" s="10"/>
      <c r="I538" s="10">
        <v>64.84</v>
      </c>
    </row>
    <row r="539" spans="1:9" s="2" customFormat="1" ht="21.75" customHeight="1">
      <c r="A539" s="8" t="s">
        <v>37</v>
      </c>
      <c r="B539" s="8" t="s">
        <v>39</v>
      </c>
      <c r="C539" s="9" t="str">
        <f t="shared" si="8"/>
        <v>230097</v>
      </c>
      <c r="D539" s="9" t="str">
        <f>"230913626"</f>
        <v>230913626</v>
      </c>
      <c r="E539" s="10">
        <v>58.6</v>
      </c>
      <c r="F539" s="10"/>
      <c r="G539" s="10">
        <v>68.89</v>
      </c>
      <c r="H539" s="10"/>
      <c r="I539" s="10">
        <v>64.77</v>
      </c>
    </row>
    <row r="540" spans="1:9" s="2" customFormat="1" ht="21.75" customHeight="1">
      <c r="A540" s="8" t="s">
        <v>37</v>
      </c>
      <c r="B540" s="8" t="s">
        <v>39</v>
      </c>
      <c r="C540" s="9" t="str">
        <f t="shared" si="8"/>
        <v>230097</v>
      </c>
      <c r="D540" s="9" t="str">
        <f>"230913110"</f>
        <v>230913110</v>
      </c>
      <c r="E540" s="10">
        <v>65.510000000000005</v>
      </c>
      <c r="F540" s="10"/>
      <c r="G540" s="10">
        <v>64.099999999999994</v>
      </c>
      <c r="H540" s="10"/>
      <c r="I540" s="10">
        <v>64.66</v>
      </c>
    </row>
    <row r="541" spans="1:9" s="2" customFormat="1" ht="21.75" customHeight="1">
      <c r="A541" s="8" t="s">
        <v>37</v>
      </c>
      <c r="B541" s="8" t="s">
        <v>39</v>
      </c>
      <c r="C541" s="9" t="str">
        <f t="shared" si="8"/>
        <v>230097</v>
      </c>
      <c r="D541" s="9" t="str">
        <f>"230914607"</f>
        <v>230914607</v>
      </c>
      <c r="E541" s="10">
        <v>69.52</v>
      </c>
      <c r="F541" s="10"/>
      <c r="G541" s="10">
        <v>61.3</v>
      </c>
      <c r="H541" s="10"/>
      <c r="I541" s="10">
        <v>64.59</v>
      </c>
    </row>
    <row r="542" spans="1:9" s="2" customFormat="1" ht="21.75" customHeight="1">
      <c r="A542" s="8" t="s">
        <v>37</v>
      </c>
      <c r="B542" s="8" t="s">
        <v>39</v>
      </c>
      <c r="C542" s="9" t="str">
        <f t="shared" si="8"/>
        <v>230097</v>
      </c>
      <c r="D542" s="9" t="str">
        <f>"230914524"</f>
        <v>230914524</v>
      </c>
      <c r="E542" s="10">
        <v>72.73</v>
      </c>
      <c r="F542" s="10"/>
      <c r="G542" s="10">
        <v>59.11</v>
      </c>
      <c r="H542" s="10"/>
      <c r="I542" s="10">
        <v>64.56</v>
      </c>
    </row>
    <row r="543" spans="1:9" s="3" customFormat="1" ht="21.75" customHeight="1">
      <c r="A543" s="8" t="s">
        <v>37</v>
      </c>
      <c r="B543" s="8" t="s">
        <v>39</v>
      </c>
      <c r="C543" s="9" t="str">
        <f t="shared" si="8"/>
        <v>230097</v>
      </c>
      <c r="D543" s="9" t="str">
        <f>"230912618"</f>
        <v>230912618</v>
      </c>
      <c r="E543" s="10">
        <v>72.73</v>
      </c>
      <c r="F543" s="10"/>
      <c r="G543" s="10">
        <v>59.09</v>
      </c>
      <c r="H543" s="10"/>
      <c r="I543" s="10">
        <v>64.55</v>
      </c>
    </row>
    <row r="544" spans="1:9" s="2" customFormat="1" ht="21.75" customHeight="1">
      <c r="A544" s="8" t="s">
        <v>37</v>
      </c>
      <c r="B544" s="8" t="s">
        <v>39</v>
      </c>
      <c r="C544" s="9" t="str">
        <f t="shared" si="8"/>
        <v>230097</v>
      </c>
      <c r="D544" s="9" t="str">
        <f>"230913117"</f>
        <v>230913117</v>
      </c>
      <c r="E544" s="10">
        <v>70.34</v>
      </c>
      <c r="F544" s="10"/>
      <c r="G544" s="10">
        <v>60.63</v>
      </c>
      <c r="H544" s="10"/>
      <c r="I544" s="10">
        <v>64.510000000000005</v>
      </c>
    </row>
    <row r="545" spans="1:9" s="3" customFormat="1" ht="21.75" customHeight="1">
      <c r="A545" s="8" t="s">
        <v>37</v>
      </c>
      <c r="B545" s="8" t="s">
        <v>39</v>
      </c>
      <c r="C545" s="9" t="str">
        <f t="shared" si="8"/>
        <v>230097</v>
      </c>
      <c r="D545" s="9" t="str">
        <f>"230912706"</f>
        <v>230912706</v>
      </c>
      <c r="E545" s="10">
        <v>68.73</v>
      </c>
      <c r="F545" s="10"/>
      <c r="G545" s="10">
        <v>61.63</v>
      </c>
      <c r="H545" s="10"/>
      <c r="I545" s="10">
        <v>64.47</v>
      </c>
    </row>
    <row r="546" spans="1:9" s="2" customFormat="1" ht="21.75" customHeight="1">
      <c r="A546" s="8" t="s">
        <v>37</v>
      </c>
      <c r="B546" s="8" t="s">
        <v>39</v>
      </c>
      <c r="C546" s="9" t="str">
        <f t="shared" si="8"/>
        <v>230097</v>
      </c>
      <c r="D546" s="9" t="str">
        <f>"230913910"</f>
        <v>230913910</v>
      </c>
      <c r="E546" s="10">
        <v>66.98</v>
      </c>
      <c r="F546" s="10"/>
      <c r="G546" s="10">
        <v>62.66</v>
      </c>
      <c r="H546" s="10"/>
      <c r="I546" s="10">
        <v>64.39</v>
      </c>
    </row>
    <row r="547" spans="1:9" s="3" customFormat="1" ht="21.75" customHeight="1">
      <c r="A547" s="8" t="s">
        <v>37</v>
      </c>
      <c r="B547" s="8" t="s">
        <v>39</v>
      </c>
      <c r="C547" s="9" t="str">
        <f t="shared" si="8"/>
        <v>230097</v>
      </c>
      <c r="D547" s="9" t="str">
        <f>"230913422"</f>
        <v>230913422</v>
      </c>
      <c r="E547" s="10">
        <v>74.790000000000006</v>
      </c>
      <c r="F547" s="10"/>
      <c r="G547" s="10">
        <v>57.37</v>
      </c>
      <c r="H547" s="10"/>
      <c r="I547" s="10">
        <v>64.34</v>
      </c>
    </row>
    <row r="548" spans="1:9" s="2" customFormat="1" ht="21.75" customHeight="1">
      <c r="A548" s="8" t="s">
        <v>37</v>
      </c>
      <c r="B548" s="8" t="s">
        <v>39</v>
      </c>
      <c r="C548" s="9" t="str">
        <f t="shared" si="8"/>
        <v>230097</v>
      </c>
      <c r="D548" s="9" t="str">
        <f>"230913206"</f>
        <v>230913206</v>
      </c>
      <c r="E548" s="10">
        <v>76.069999999999993</v>
      </c>
      <c r="F548" s="10"/>
      <c r="G548" s="10">
        <v>56.39</v>
      </c>
      <c r="H548" s="10"/>
      <c r="I548" s="10">
        <v>64.260000000000005</v>
      </c>
    </row>
    <row r="549" spans="1:9" s="2" customFormat="1" ht="21.75" customHeight="1">
      <c r="A549" s="8" t="s">
        <v>37</v>
      </c>
      <c r="B549" s="8" t="s">
        <v>39</v>
      </c>
      <c r="C549" s="9" t="str">
        <f t="shared" si="8"/>
        <v>230097</v>
      </c>
      <c r="D549" s="9" t="str">
        <f>"230912820"</f>
        <v>230912820</v>
      </c>
      <c r="E549" s="10">
        <v>71.7</v>
      </c>
      <c r="F549" s="10"/>
      <c r="G549" s="10">
        <v>59.21</v>
      </c>
      <c r="H549" s="10"/>
      <c r="I549" s="10">
        <v>64.209999999999994</v>
      </c>
    </row>
    <row r="550" spans="1:9" s="3" customFormat="1" ht="21.75" customHeight="1">
      <c r="A550" s="8" t="s">
        <v>37</v>
      </c>
      <c r="B550" s="8" t="s">
        <v>39</v>
      </c>
      <c r="C550" s="9" t="str">
        <f t="shared" si="8"/>
        <v>230097</v>
      </c>
      <c r="D550" s="9" t="str">
        <f>"230913811"</f>
        <v>230913811</v>
      </c>
      <c r="E550" s="10">
        <v>71.47</v>
      </c>
      <c r="F550" s="10"/>
      <c r="G550" s="10">
        <v>59.29</v>
      </c>
      <c r="H550" s="10"/>
      <c r="I550" s="10">
        <v>64.16</v>
      </c>
    </row>
    <row r="551" spans="1:9" s="3" customFormat="1" ht="21.75" customHeight="1">
      <c r="A551" s="8" t="s">
        <v>37</v>
      </c>
      <c r="B551" s="8" t="s">
        <v>39</v>
      </c>
      <c r="C551" s="9" t="str">
        <f t="shared" si="8"/>
        <v>230097</v>
      </c>
      <c r="D551" s="9" t="str">
        <f>"230914518"</f>
        <v>230914518</v>
      </c>
      <c r="E551" s="10">
        <v>71.239999999999995</v>
      </c>
      <c r="F551" s="10"/>
      <c r="G551" s="10">
        <v>59.4</v>
      </c>
      <c r="H551" s="10"/>
      <c r="I551" s="10">
        <v>64.14</v>
      </c>
    </row>
    <row r="552" spans="1:9" s="2" customFormat="1" ht="21.75" customHeight="1">
      <c r="A552" s="8" t="s">
        <v>37</v>
      </c>
      <c r="B552" s="8" t="s">
        <v>39</v>
      </c>
      <c r="C552" s="9" t="str">
        <f t="shared" si="8"/>
        <v>230097</v>
      </c>
      <c r="D552" s="9" t="str">
        <f>"230913807"</f>
        <v>230913807</v>
      </c>
      <c r="E552" s="10">
        <v>69.040000000000006</v>
      </c>
      <c r="F552" s="10"/>
      <c r="G552" s="10">
        <v>60.86</v>
      </c>
      <c r="H552" s="10"/>
      <c r="I552" s="10">
        <v>64.13</v>
      </c>
    </row>
    <row r="553" spans="1:9" s="3" customFormat="1" ht="21.75" customHeight="1">
      <c r="A553" s="8" t="s">
        <v>37</v>
      </c>
      <c r="B553" s="8" t="s">
        <v>39</v>
      </c>
      <c r="C553" s="9" t="str">
        <f t="shared" si="8"/>
        <v>230097</v>
      </c>
      <c r="D553" s="9" t="str">
        <f>"230913424"</f>
        <v>230913424</v>
      </c>
      <c r="E553" s="10">
        <v>72.400000000000006</v>
      </c>
      <c r="F553" s="10"/>
      <c r="G553" s="10">
        <v>58.43</v>
      </c>
      <c r="H553" s="10"/>
      <c r="I553" s="10">
        <v>64.02</v>
      </c>
    </row>
    <row r="554" spans="1:9" s="2" customFormat="1" ht="21.75" customHeight="1">
      <c r="A554" s="8" t="s">
        <v>37</v>
      </c>
      <c r="B554" s="8" t="s">
        <v>39</v>
      </c>
      <c r="C554" s="9" t="str">
        <f t="shared" si="8"/>
        <v>230097</v>
      </c>
      <c r="D554" s="9" t="str">
        <f>"230913416"</f>
        <v>230913416</v>
      </c>
      <c r="E554" s="10">
        <v>69.53</v>
      </c>
      <c r="F554" s="10"/>
      <c r="G554" s="10">
        <v>60.14</v>
      </c>
      <c r="H554" s="10"/>
      <c r="I554" s="10">
        <v>63.9</v>
      </c>
    </row>
    <row r="555" spans="1:9" s="2" customFormat="1" ht="21.75" customHeight="1">
      <c r="A555" s="8" t="s">
        <v>37</v>
      </c>
      <c r="B555" s="8" t="s">
        <v>39</v>
      </c>
      <c r="C555" s="9" t="str">
        <f t="shared" si="8"/>
        <v>230097</v>
      </c>
      <c r="D555" s="9" t="str">
        <f>"230913701"</f>
        <v>230913701</v>
      </c>
      <c r="E555" s="10">
        <v>75.95</v>
      </c>
      <c r="F555" s="10"/>
      <c r="G555" s="10">
        <v>55.79</v>
      </c>
      <c r="H555" s="10"/>
      <c r="I555" s="10">
        <v>63.85</v>
      </c>
    </row>
    <row r="556" spans="1:9" s="3" customFormat="1" ht="21.75" customHeight="1">
      <c r="A556" s="8" t="s">
        <v>37</v>
      </c>
      <c r="B556" s="8" t="s">
        <v>39</v>
      </c>
      <c r="C556" s="9" t="str">
        <f t="shared" si="8"/>
        <v>230097</v>
      </c>
      <c r="D556" s="9" t="str">
        <f>"230913905"</f>
        <v>230913905</v>
      </c>
      <c r="E556" s="10">
        <v>60.91</v>
      </c>
      <c r="F556" s="10"/>
      <c r="G556" s="10">
        <v>65.75</v>
      </c>
      <c r="H556" s="10"/>
      <c r="I556" s="10">
        <v>63.81</v>
      </c>
    </row>
    <row r="557" spans="1:9" s="3" customFormat="1" ht="21.75" customHeight="1">
      <c r="A557" s="8" t="s">
        <v>37</v>
      </c>
      <c r="B557" s="8" t="s">
        <v>39</v>
      </c>
      <c r="C557" s="9" t="str">
        <f t="shared" si="8"/>
        <v>230097</v>
      </c>
      <c r="D557" s="9" t="str">
        <f>"230914001"</f>
        <v>230914001</v>
      </c>
      <c r="E557" s="10">
        <v>66.63</v>
      </c>
      <c r="F557" s="10"/>
      <c r="G557" s="10">
        <v>61.88</v>
      </c>
      <c r="H557" s="10"/>
      <c r="I557" s="10">
        <v>63.78</v>
      </c>
    </row>
    <row r="558" spans="1:9" s="2" customFormat="1" ht="21.75" customHeight="1">
      <c r="A558" s="8" t="s">
        <v>37</v>
      </c>
      <c r="B558" s="8" t="s">
        <v>39</v>
      </c>
      <c r="C558" s="9" t="str">
        <f t="shared" si="8"/>
        <v>230097</v>
      </c>
      <c r="D558" s="9" t="str">
        <f>"230912904"</f>
        <v>230912904</v>
      </c>
      <c r="E558" s="10">
        <v>77.66</v>
      </c>
      <c r="F558" s="10"/>
      <c r="G558" s="10">
        <v>54.31</v>
      </c>
      <c r="H558" s="10"/>
      <c r="I558" s="10">
        <v>63.65</v>
      </c>
    </row>
    <row r="559" spans="1:9" s="3" customFormat="1" ht="21.75" customHeight="1">
      <c r="A559" s="8" t="s">
        <v>37</v>
      </c>
      <c r="B559" s="8" t="s">
        <v>39</v>
      </c>
      <c r="C559" s="9" t="str">
        <f t="shared" si="8"/>
        <v>230097</v>
      </c>
      <c r="D559" s="9" t="str">
        <f>"230913823"</f>
        <v>230913823</v>
      </c>
      <c r="E559" s="10">
        <v>63.88</v>
      </c>
      <c r="F559" s="10"/>
      <c r="G559" s="10">
        <v>63.16</v>
      </c>
      <c r="H559" s="10"/>
      <c r="I559" s="10">
        <v>63.45</v>
      </c>
    </row>
    <row r="560" spans="1:9" s="2" customFormat="1" ht="21.75" customHeight="1">
      <c r="A560" s="8" t="s">
        <v>37</v>
      </c>
      <c r="B560" s="8" t="s">
        <v>39</v>
      </c>
      <c r="C560" s="9" t="str">
        <f t="shared" si="8"/>
        <v>230097</v>
      </c>
      <c r="D560" s="9" t="str">
        <f>"230913109"</f>
        <v>230913109</v>
      </c>
      <c r="E560" s="10">
        <v>75.37</v>
      </c>
      <c r="F560" s="10"/>
      <c r="G560" s="10">
        <v>55.49</v>
      </c>
      <c r="H560" s="10"/>
      <c r="I560" s="10">
        <v>63.44</v>
      </c>
    </row>
    <row r="561" spans="1:9" s="2" customFormat="1" ht="21.75" customHeight="1">
      <c r="A561" s="8" t="s">
        <v>37</v>
      </c>
      <c r="B561" s="8" t="s">
        <v>39</v>
      </c>
      <c r="C561" s="9" t="str">
        <f t="shared" si="8"/>
        <v>230097</v>
      </c>
      <c r="D561" s="9" t="str">
        <f>"230913022"</f>
        <v>230913022</v>
      </c>
      <c r="E561" s="10">
        <v>59.63</v>
      </c>
      <c r="F561" s="10"/>
      <c r="G561" s="10">
        <v>65.959999999999994</v>
      </c>
      <c r="H561" s="10"/>
      <c r="I561" s="10">
        <v>63.43</v>
      </c>
    </row>
    <row r="562" spans="1:9" s="2" customFormat="1" ht="21.75" customHeight="1">
      <c r="A562" s="8" t="s">
        <v>37</v>
      </c>
      <c r="B562" s="8" t="s">
        <v>39</v>
      </c>
      <c r="C562" s="9" t="str">
        <f t="shared" si="8"/>
        <v>230097</v>
      </c>
      <c r="D562" s="9" t="str">
        <f>"230913904"</f>
        <v>230913904</v>
      </c>
      <c r="E562" s="10">
        <v>75.489999999999995</v>
      </c>
      <c r="F562" s="10"/>
      <c r="G562" s="10">
        <v>55.13</v>
      </c>
      <c r="H562" s="10"/>
      <c r="I562" s="10">
        <v>63.27</v>
      </c>
    </row>
    <row r="563" spans="1:9" s="2" customFormat="1" ht="21.75" customHeight="1">
      <c r="A563" s="8" t="s">
        <v>37</v>
      </c>
      <c r="B563" s="8" t="s">
        <v>39</v>
      </c>
      <c r="C563" s="9" t="str">
        <f t="shared" si="8"/>
        <v>230097</v>
      </c>
      <c r="D563" s="9" t="str">
        <f>"230914309"</f>
        <v>230914309</v>
      </c>
      <c r="E563" s="10">
        <v>64</v>
      </c>
      <c r="F563" s="10"/>
      <c r="G563" s="10">
        <v>62.56</v>
      </c>
      <c r="H563" s="10"/>
      <c r="I563" s="10">
        <v>63.14</v>
      </c>
    </row>
    <row r="564" spans="1:9" s="2" customFormat="1" ht="21.75" customHeight="1">
      <c r="A564" s="8" t="s">
        <v>37</v>
      </c>
      <c r="B564" s="8" t="s">
        <v>39</v>
      </c>
      <c r="C564" s="9" t="str">
        <f t="shared" si="8"/>
        <v>230097</v>
      </c>
      <c r="D564" s="9" t="str">
        <f>"230913115"</f>
        <v>230913115</v>
      </c>
      <c r="E564" s="10">
        <v>74.23</v>
      </c>
      <c r="F564" s="10"/>
      <c r="G564" s="10">
        <v>55.52</v>
      </c>
      <c r="H564" s="10"/>
      <c r="I564" s="10">
        <v>63</v>
      </c>
    </row>
    <row r="565" spans="1:9" s="3" customFormat="1" ht="21.75" customHeight="1">
      <c r="A565" s="8" t="s">
        <v>37</v>
      </c>
      <c r="B565" s="8" t="s">
        <v>39</v>
      </c>
      <c r="C565" s="9" t="str">
        <f t="shared" si="8"/>
        <v>230097</v>
      </c>
      <c r="D565" s="9" t="str">
        <f>"230913119"</f>
        <v>230913119</v>
      </c>
      <c r="E565" s="10">
        <v>62.39</v>
      </c>
      <c r="F565" s="10"/>
      <c r="G565" s="10">
        <v>63.32</v>
      </c>
      <c r="H565" s="10"/>
      <c r="I565" s="10">
        <v>62.95</v>
      </c>
    </row>
    <row r="566" spans="1:9" s="2" customFormat="1" ht="21.75" customHeight="1">
      <c r="A566" s="8" t="s">
        <v>37</v>
      </c>
      <c r="B566" s="8" t="s">
        <v>39</v>
      </c>
      <c r="C566" s="9" t="str">
        <f t="shared" si="8"/>
        <v>230097</v>
      </c>
      <c r="D566" s="9" t="str">
        <f>"230913629"</f>
        <v>230913629</v>
      </c>
      <c r="E566" s="10">
        <v>75.38</v>
      </c>
      <c r="F566" s="10"/>
      <c r="G566" s="10">
        <v>54.61</v>
      </c>
      <c r="H566" s="10"/>
      <c r="I566" s="10">
        <v>62.92</v>
      </c>
    </row>
    <row r="567" spans="1:9" s="2" customFormat="1" ht="21.75" customHeight="1">
      <c r="A567" s="8" t="s">
        <v>37</v>
      </c>
      <c r="B567" s="8" t="s">
        <v>39</v>
      </c>
      <c r="C567" s="9" t="str">
        <f t="shared" si="8"/>
        <v>230097</v>
      </c>
      <c r="D567" s="9" t="str">
        <f>"230914418"</f>
        <v>230914418</v>
      </c>
      <c r="E567" s="10">
        <v>71.59</v>
      </c>
      <c r="F567" s="10"/>
      <c r="G567" s="10">
        <v>57.04</v>
      </c>
      <c r="H567" s="10"/>
      <c r="I567" s="10">
        <v>62.86</v>
      </c>
    </row>
    <row r="568" spans="1:9" s="2" customFormat="1" ht="21.75" customHeight="1">
      <c r="A568" s="8" t="s">
        <v>37</v>
      </c>
      <c r="B568" s="8" t="s">
        <v>39</v>
      </c>
      <c r="C568" s="9" t="str">
        <f t="shared" si="8"/>
        <v>230097</v>
      </c>
      <c r="D568" s="9" t="str">
        <f>"230913727"</f>
        <v>230913727</v>
      </c>
      <c r="E568" s="10">
        <v>69.62</v>
      </c>
      <c r="F568" s="10"/>
      <c r="G568" s="10">
        <v>58.31</v>
      </c>
      <c r="H568" s="10"/>
      <c r="I568" s="10">
        <v>62.83</v>
      </c>
    </row>
    <row r="569" spans="1:9" s="2" customFormat="1" ht="21.75" customHeight="1">
      <c r="A569" s="8" t="s">
        <v>37</v>
      </c>
      <c r="B569" s="8" t="s">
        <v>39</v>
      </c>
      <c r="C569" s="9" t="str">
        <f t="shared" si="8"/>
        <v>230097</v>
      </c>
      <c r="D569" s="9" t="str">
        <f>"230913205"</f>
        <v>230913205</v>
      </c>
      <c r="E569" s="10">
        <v>69.98</v>
      </c>
      <c r="F569" s="10"/>
      <c r="G569" s="10">
        <v>57.96</v>
      </c>
      <c r="H569" s="10"/>
      <c r="I569" s="10">
        <v>62.77</v>
      </c>
    </row>
    <row r="570" spans="1:9" s="2" customFormat="1" ht="21.75" customHeight="1">
      <c r="A570" s="8" t="s">
        <v>37</v>
      </c>
      <c r="B570" s="8" t="s">
        <v>39</v>
      </c>
      <c r="C570" s="9" t="str">
        <f t="shared" si="8"/>
        <v>230097</v>
      </c>
      <c r="D570" s="9" t="str">
        <f>"230913013"</f>
        <v>230913013</v>
      </c>
      <c r="E570" s="10">
        <v>67.790000000000006</v>
      </c>
      <c r="F570" s="10"/>
      <c r="G570" s="10">
        <v>59.33</v>
      </c>
      <c r="H570" s="10"/>
      <c r="I570" s="10">
        <v>62.71</v>
      </c>
    </row>
    <row r="571" spans="1:9" s="2" customFormat="1" ht="21.75" customHeight="1">
      <c r="A571" s="8" t="s">
        <v>37</v>
      </c>
      <c r="B571" s="8" t="s">
        <v>39</v>
      </c>
      <c r="C571" s="9" t="str">
        <f t="shared" si="8"/>
        <v>230097</v>
      </c>
      <c r="D571" s="9" t="str">
        <f>"230912606"</f>
        <v>230912606</v>
      </c>
      <c r="E571" s="10">
        <v>63.65</v>
      </c>
      <c r="F571" s="10"/>
      <c r="G571" s="10">
        <v>62.05</v>
      </c>
      <c r="H571" s="10"/>
      <c r="I571" s="10">
        <v>62.69</v>
      </c>
    </row>
    <row r="572" spans="1:9" s="2" customFormat="1" ht="21.75" customHeight="1">
      <c r="A572" s="8" t="s">
        <v>37</v>
      </c>
      <c r="B572" s="8" t="s">
        <v>39</v>
      </c>
      <c r="C572" s="9" t="str">
        <f t="shared" si="8"/>
        <v>230097</v>
      </c>
      <c r="D572" s="9" t="str">
        <f>"230913204"</f>
        <v>230913204</v>
      </c>
      <c r="E572" s="10">
        <v>69.06</v>
      </c>
      <c r="F572" s="10"/>
      <c r="G572" s="10">
        <v>58.32</v>
      </c>
      <c r="H572" s="10"/>
      <c r="I572" s="10">
        <v>62.62</v>
      </c>
    </row>
    <row r="573" spans="1:9" s="2" customFormat="1" ht="21.75" customHeight="1">
      <c r="A573" s="8" t="s">
        <v>37</v>
      </c>
      <c r="B573" s="8" t="s">
        <v>39</v>
      </c>
      <c r="C573" s="9" t="str">
        <f t="shared" si="8"/>
        <v>230097</v>
      </c>
      <c r="D573" s="9" t="str">
        <f>"230913016"</f>
        <v>230913016</v>
      </c>
      <c r="E573" s="10">
        <v>73.069999999999993</v>
      </c>
      <c r="F573" s="10"/>
      <c r="G573" s="10">
        <v>55.59</v>
      </c>
      <c r="H573" s="10"/>
      <c r="I573" s="10">
        <v>62.58</v>
      </c>
    </row>
    <row r="574" spans="1:9" s="3" customFormat="1" ht="21.75" customHeight="1">
      <c r="A574" s="8" t="s">
        <v>37</v>
      </c>
      <c r="B574" s="8" t="s">
        <v>39</v>
      </c>
      <c r="C574" s="9" t="str">
        <f t="shared" si="8"/>
        <v>230097</v>
      </c>
      <c r="D574" s="9" t="str">
        <f>"230913413"</f>
        <v>230913413</v>
      </c>
      <c r="E574" s="10">
        <v>70.09</v>
      </c>
      <c r="F574" s="10"/>
      <c r="G574" s="10">
        <v>57.53</v>
      </c>
      <c r="H574" s="10"/>
      <c r="I574" s="10">
        <v>62.55</v>
      </c>
    </row>
    <row r="575" spans="1:9" s="3" customFormat="1" ht="21.75" customHeight="1">
      <c r="A575" s="8" t="s">
        <v>37</v>
      </c>
      <c r="B575" s="8" t="s">
        <v>39</v>
      </c>
      <c r="C575" s="9" t="str">
        <f t="shared" si="8"/>
        <v>230097</v>
      </c>
      <c r="D575" s="9" t="str">
        <f>"230913418"</f>
        <v>230913418</v>
      </c>
      <c r="E575" s="10">
        <v>69.61</v>
      </c>
      <c r="F575" s="10"/>
      <c r="G575" s="10">
        <v>57.74</v>
      </c>
      <c r="H575" s="10"/>
      <c r="I575" s="10">
        <v>62.49</v>
      </c>
    </row>
    <row r="576" spans="1:9" s="3" customFormat="1" ht="21.75" customHeight="1">
      <c r="A576" s="8" t="s">
        <v>37</v>
      </c>
      <c r="B576" s="8" t="s">
        <v>39</v>
      </c>
      <c r="C576" s="9" t="str">
        <f t="shared" si="8"/>
        <v>230097</v>
      </c>
      <c r="D576" s="9" t="str">
        <f>"230914425"</f>
        <v>230914425</v>
      </c>
      <c r="E576" s="10">
        <v>67.900000000000006</v>
      </c>
      <c r="F576" s="10"/>
      <c r="G576" s="10">
        <v>58.87</v>
      </c>
      <c r="H576" s="10"/>
      <c r="I576" s="10">
        <v>62.48</v>
      </c>
    </row>
    <row r="577" spans="1:9" s="3" customFormat="1" ht="21.75" customHeight="1">
      <c r="A577" s="8" t="s">
        <v>37</v>
      </c>
      <c r="B577" s="8" t="s">
        <v>39</v>
      </c>
      <c r="C577" s="9" t="str">
        <f t="shared" si="8"/>
        <v>230097</v>
      </c>
      <c r="D577" s="9" t="str">
        <f>"230913808"</f>
        <v>230913808</v>
      </c>
      <c r="E577" s="10">
        <v>75.28</v>
      </c>
      <c r="F577" s="10"/>
      <c r="G577" s="10">
        <v>53.92</v>
      </c>
      <c r="H577" s="10"/>
      <c r="I577" s="10">
        <v>62.46</v>
      </c>
    </row>
    <row r="578" spans="1:9" s="2" customFormat="1" ht="21.75" customHeight="1">
      <c r="A578" s="8" t="s">
        <v>37</v>
      </c>
      <c r="B578" s="8" t="s">
        <v>39</v>
      </c>
      <c r="C578" s="9" t="str">
        <f t="shared" si="8"/>
        <v>230097</v>
      </c>
      <c r="D578" s="9" t="str">
        <f>"230913315"</f>
        <v>230913315</v>
      </c>
      <c r="E578" s="10">
        <v>73.069999999999993</v>
      </c>
      <c r="F578" s="10"/>
      <c r="G578" s="10">
        <v>55.29</v>
      </c>
      <c r="H578" s="10"/>
      <c r="I578" s="10">
        <v>62.4</v>
      </c>
    </row>
    <row r="579" spans="1:9" s="2" customFormat="1" ht="21.75" customHeight="1">
      <c r="A579" s="8" t="s">
        <v>37</v>
      </c>
      <c r="B579" s="8" t="s">
        <v>39</v>
      </c>
      <c r="C579" s="9" t="str">
        <f t="shared" si="8"/>
        <v>230097</v>
      </c>
      <c r="D579" s="9" t="str">
        <f>"230913323"</f>
        <v>230913323</v>
      </c>
      <c r="E579" s="10">
        <v>72.959999999999994</v>
      </c>
      <c r="F579" s="10"/>
      <c r="G579" s="10">
        <v>55.29</v>
      </c>
      <c r="H579" s="10"/>
      <c r="I579" s="10">
        <v>62.36</v>
      </c>
    </row>
    <row r="580" spans="1:9" s="3" customFormat="1" ht="21.75" customHeight="1">
      <c r="A580" s="8" t="s">
        <v>37</v>
      </c>
      <c r="B580" s="8" t="s">
        <v>39</v>
      </c>
      <c r="C580" s="9" t="str">
        <f t="shared" si="8"/>
        <v>230097</v>
      </c>
      <c r="D580" s="9" t="str">
        <f>"230914514"</f>
        <v>230914514</v>
      </c>
      <c r="E580" s="10">
        <v>69.959999999999994</v>
      </c>
      <c r="F580" s="10"/>
      <c r="G580" s="10">
        <v>57.05</v>
      </c>
      <c r="H580" s="10"/>
      <c r="I580" s="10">
        <v>62.21</v>
      </c>
    </row>
    <row r="581" spans="1:9" s="3" customFormat="1" ht="21.75" customHeight="1">
      <c r="A581" s="8" t="s">
        <v>37</v>
      </c>
      <c r="B581" s="8" t="s">
        <v>39</v>
      </c>
      <c r="C581" s="9" t="str">
        <f t="shared" si="8"/>
        <v>230097</v>
      </c>
      <c r="D581" s="9" t="str">
        <f>"230914407"</f>
        <v>230914407</v>
      </c>
      <c r="E581" s="10">
        <v>67.55</v>
      </c>
      <c r="F581" s="10"/>
      <c r="G581" s="10">
        <v>58.6</v>
      </c>
      <c r="H581" s="10"/>
      <c r="I581" s="10">
        <v>62.18</v>
      </c>
    </row>
    <row r="582" spans="1:9" s="3" customFormat="1" ht="21.75" customHeight="1">
      <c r="A582" s="8" t="s">
        <v>37</v>
      </c>
      <c r="B582" s="8" t="s">
        <v>39</v>
      </c>
      <c r="C582" s="9" t="str">
        <f t="shared" ref="C582:C645" si="9">"230097"</f>
        <v>230097</v>
      </c>
      <c r="D582" s="9" t="str">
        <f>"230913126"</f>
        <v>230913126</v>
      </c>
      <c r="E582" s="10">
        <v>71.81</v>
      </c>
      <c r="F582" s="10"/>
      <c r="G582" s="10">
        <v>55.71</v>
      </c>
      <c r="H582" s="10"/>
      <c r="I582" s="10">
        <v>62.15</v>
      </c>
    </row>
    <row r="583" spans="1:9" s="2" customFormat="1" ht="21.75" customHeight="1">
      <c r="A583" s="8" t="s">
        <v>37</v>
      </c>
      <c r="B583" s="8" t="s">
        <v>39</v>
      </c>
      <c r="C583" s="9" t="str">
        <f t="shared" si="9"/>
        <v>230097</v>
      </c>
      <c r="D583" s="9" t="str">
        <f>"230913829"</f>
        <v>230913829</v>
      </c>
      <c r="E583" s="10">
        <v>56.41</v>
      </c>
      <c r="F583" s="10"/>
      <c r="G583" s="10">
        <v>65.97</v>
      </c>
      <c r="H583" s="10"/>
      <c r="I583" s="10">
        <v>62.15</v>
      </c>
    </row>
    <row r="584" spans="1:9" s="2" customFormat="1" ht="21.75" customHeight="1">
      <c r="A584" s="8" t="s">
        <v>37</v>
      </c>
      <c r="B584" s="8" t="s">
        <v>39</v>
      </c>
      <c r="C584" s="9" t="str">
        <f t="shared" si="9"/>
        <v>230097</v>
      </c>
      <c r="D584" s="9" t="str">
        <f>"230914516"</f>
        <v>230914516</v>
      </c>
      <c r="E584" s="10">
        <v>61.26</v>
      </c>
      <c r="F584" s="10"/>
      <c r="G584" s="10">
        <v>62.55</v>
      </c>
      <c r="H584" s="10"/>
      <c r="I584" s="10">
        <v>62.03</v>
      </c>
    </row>
    <row r="585" spans="1:9" s="2" customFormat="1" ht="21.75" customHeight="1">
      <c r="A585" s="8" t="s">
        <v>37</v>
      </c>
      <c r="B585" s="8" t="s">
        <v>39</v>
      </c>
      <c r="C585" s="9" t="str">
        <f t="shared" si="9"/>
        <v>230097</v>
      </c>
      <c r="D585" s="9" t="str">
        <f>"230913030"</f>
        <v>230913030</v>
      </c>
      <c r="E585" s="10">
        <v>67.11</v>
      </c>
      <c r="F585" s="10"/>
      <c r="G585" s="10">
        <v>58.57</v>
      </c>
      <c r="H585" s="10"/>
      <c r="I585" s="10">
        <v>61.99</v>
      </c>
    </row>
    <row r="586" spans="1:9" s="2" customFormat="1" ht="21.75" customHeight="1">
      <c r="A586" s="8" t="s">
        <v>37</v>
      </c>
      <c r="B586" s="8" t="s">
        <v>39</v>
      </c>
      <c r="C586" s="9" t="str">
        <f t="shared" si="9"/>
        <v>230097</v>
      </c>
      <c r="D586" s="9" t="str">
        <f>"230913326"</f>
        <v>230913326</v>
      </c>
      <c r="E586" s="10">
        <v>63.53</v>
      </c>
      <c r="F586" s="10"/>
      <c r="G586" s="10">
        <v>60.94</v>
      </c>
      <c r="H586" s="10"/>
      <c r="I586" s="10">
        <v>61.98</v>
      </c>
    </row>
    <row r="587" spans="1:9" s="2" customFormat="1" ht="21.75" customHeight="1">
      <c r="A587" s="8" t="s">
        <v>37</v>
      </c>
      <c r="B587" s="8" t="s">
        <v>39</v>
      </c>
      <c r="C587" s="9" t="str">
        <f t="shared" si="9"/>
        <v>230097</v>
      </c>
      <c r="D587" s="9" t="str">
        <f>"230913508"</f>
        <v>230913508</v>
      </c>
      <c r="E587" s="10">
        <v>63.88</v>
      </c>
      <c r="F587" s="10"/>
      <c r="G587" s="10">
        <v>60.7</v>
      </c>
      <c r="H587" s="10"/>
      <c r="I587" s="10">
        <v>61.97</v>
      </c>
    </row>
    <row r="588" spans="1:9" s="2" customFormat="1" ht="21.75" customHeight="1">
      <c r="A588" s="8" t="s">
        <v>37</v>
      </c>
      <c r="B588" s="8" t="s">
        <v>39</v>
      </c>
      <c r="C588" s="9" t="str">
        <f t="shared" si="9"/>
        <v>230097</v>
      </c>
      <c r="D588" s="9" t="str">
        <f>"230913302"</f>
        <v>230913302</v>
      </c>
      <c r="E588" s="10">
        <v>68.260000000000005</v>
      </c>
      <c r="F588" s="10"/>
      <c r="G588" s="10">
        <v>57.7</v>
      </c>
      <c r="H588" s="10"/>
      <c r="I588" s="10">
        <v>61.92</v>
      </c>
    </row>
    <row r="589" spans="1:9" s="3" customFormat="1" ht="21.75" customHeight="1">
      <c r="A589" s="8" t="s">
        <v>37</v>
      </c>
      <c r="B589" s="8" t="s">
        <v>39</v>
      </c>
      <c r="C589" s="9" t="str">
        <f t="shared" si="9"/>
        <v>230097</v>
      </c>
      <c r="D589" s="9" t="str">
        <f>"230914227"</f>
        <v>230914227</v>
      </c>
      <c r="E589" s="10">
        <v>63.89</v>
      </c>
      <c r="F589" s="10"/>
      <c r="G589" s="10">
        <v>60.61</v>
      </c>
      <c r="H589" s="10"/>
      <c r="I589" s="10">
        <v>61.92</v>
      </c>
    </row>
    <row r="590" spans="1:9" s="2" customFormat="1" ht="21.75" customHeight="1">
      <c r="A590" s="8" t="s">
        <v>37</v>
      </c>
      <c r="B590" s="8" t="s">
        <v>39</v>
      </c>
      <c r="C590" s="9" t="str">
        <f t="shared" si="9"/>
        <v>230097</v>
      </c>
      <c r="D590" s="9" t="str">
        <f>"230914509"</f>
        <v>230914509</v>
      </c>
      <c r="E590" s="10">
        <v>65.28</v>
      </c>
      <c r="F590" s="10"/>
      <c r="G590" s="10">
        <v>59.66</v>
      </c>
      <c r="H590" s="10"/>
      <c r="I590" s="10">
        <v>61.91</v>
      </c>
    </row>
    <row r="591" spans="1:9" s="2" customFormat="1" ht="21.75" customHeight="1">
      <c r="A591" s="8" t="s">
        <v>37</v>
      </c>
      <c r="B591" s="8" t="s">
        <v>39</v>
      </c>
      <c r="C591" s="9" t="str">
        <f t="shared" si="9"/>
        <v>230097</v>
      </c>
      <c r="D591" s="9" t="str">
        <f>"230914304"</f>
        <v>230914304</v>
      </c>
      <c r="E591" s="10">
        <v>65.14</v>
      </c>
      <c r="F591" s="10"/>
      <c r="G591" s="10">
        <v>59.73</v>
      </c>
      <c r="H591" s="10"/>
      <c r="I591" s="10">
        <v>61.89</v>
      </c>
    </row>
    <row r="592" spans="1:9" s="3" customFormat="1" ht="21.75" customHeight="1">
      <c r="A592" s="8" t="s">
        <v>37</v>
      </c>
      <c r="B592" s="8" t="s">
        <v>39</v>
      </c>
      <c r="C592" s="9" t="str">
        <f t="shared" si="9"/>
        <v>230097</v>
      </c>
      <c r="D592" s="9" t="str">
        <f>"230913003"</f>
        <v>230913003</v>
      </c>
      <c r="E592" s="10">
        <v>69.05</v>
      </c>
      <c r="F592" s="10"/>
      <c r="G592" s="10">
        <v>56.79</v>
      </c>
      <c r="H592" s="10"/>
      <c r="I592" s="10">
        <v>61.69</v>
      </c>
    </row>
    <row r="593" spans="1:9" s="2" customFormat="1" ht="21.75" customHeight="1">
      <c r="A593" s="8" t="s">
        <v>37</v>
      </c>
      <c r="B593" s="8" t="s">
        <v>39</v>
      </c>
      <c r="C593" s="9" t="str">
        <f t="shared" si="9"/>
        <v>230097</v>
      </c>
      <c r="D593" s="9" t="str">
        <f>"230912813"</f>
        <v>230912813</v>
      </c>
      <c r="E593" s="10">
        <v>72.5</v>
      </c>
      <c r="F593" s="10"/>
      <c r="G593" s="10">
        <v>54.45</v>
      </c>
      <c r="H593" s="10"/>
      <c r="I593" s="10">
        <v>61.67</v>
      </c>
    </row>
    <row r="594" spans="1:9" s="2" customFormat="1" ht="21.75" customHeight="1">
      <c r="A594" s="8" t="s">
        <v>37</v>
      </c>
      <c r="B594" s="8" t="s">
        <v>39</v>
      </c>
      <c r="C594" s="9" t="str">
        <f t="shared" si="9"/>
        <v>230097</v>
      </c>
      <c r="D594" s="9" t="str">
        <f>"230913707"</f>
        <v>230913707</v>
      </c>
      <c r="E594" s="10">
        <v>65.72</v>
      </c>
      <c r="F594" s="10"/>
      <c r="G594" s="10">
        <v>58.93</v>
      </c>
      <c r="H594" s="10"/>
      <c r="I594" s="10">
        <v>61.65</v>
      </c>
    </row>
    <row r="595" spans="1:9" s="2" customFormat="1" ht="21.75" customHeight="1">
      <c r="A595" s="8" t="s">
        <v>37</v>
      </c>
      <c r="B595" s="8" t="s">
        <v>39</v>
      </c>
      <c r="C595" s="9" t="str">
        <f t="shared" si="9"/>
        <v>230097</v>
      </c>
      <c r="D595" s="9" t="str">
        <f>"230913417"</f>
        <v>230913417</v>
      </c>
      <c r="E595" s="10">
        <v>72.39</v>
      </c>
      <c r="F595" s="10"/>
      <c r="G595" s="10">
        <v>54.43</v>
      </c>
      <c r="H595" s="10"/>
      <c r="I595" s="10">
        <v>61.61</v>
      </c>
    </row>
    <row r="596" spans="1:9" s="2" customFormat="1" ht="21.75" customHeight="1">
      <c r="A596" s="8" t="s">
        <v>37</v>
      </c>
      <c r="B596" s="8" t="s">
        <v>39</v>
      </c>
      <c r="C596" s="9" t="str">
        <f t="shared" si="9"/>
        <v>230097</v>
      </c>
      <c r="D596" s="9" t="str">
        <f>"230914603"</f>
        <v>230914603</v>
      </c>
      <c r="E596" s="10">
        <v>65.03</v>
      </c>
      <c r="F596" s="10"/>
      <c r="G596" s="10">
        <v>59.3</v>
      </c>
      <c r="H596" s="10"/>
      <c r="I596" s="10">
        <v>61.59</v>
      </c>
    </row>
    <row r="597" spans="1:9" s="2" customFormat="1" ht="21.75" customHeight="1">
      <c r="A597" s="8" t="s">
        <v>37</v>
      </c>
      <c r="B597" s="8" t="s">
        <v>39</v>
      </c>
      <c r="C597" s="9" t="str">
        <f t="shared" si="9"/>
        <v>230097</v>
      </c>
      <c r="D597" s="9" t="str">
        <f>"230914605"</f>
        <v>230914605</v>
      </c>
      <c r="E597" s="10">
        <v>71.010000000000005</v>
      </c>
      <c r="F597" s="10"/>
      <c r="G597" s="10">
        <v>55.24</v>
      </c>
      <c r="H597" s="10"/>
      <c r="I597" s="10">
        <v>61.55</v>
      </c>
    </row>
    <row r="598" spans="1:9" s="2" customFormat="1" ht="21.75" customHeight="1">
      <c r="A598" s="8" t="s">
        <v>37</v>
      </c>
      <c r="B598" s="8" t="s">
        <v>39</v>
      </c>
      <c r="C598" s="9" t="str">
        <f t="shared" si="9"/>
        <v>230097</v>
      </c>
      <c r="D598" s="9" t="str">
        <f>"230913719"</f>
        <v>230913719</v>
      </c>
      <c r="E598" s="10">
        <v>68.819999999999993</v>
      </c>
      <c r="F598" s="10"/>
      <c r="G598" s="10">
        <v>56.69</v>
      </c>
      <c r="H598" s="10"/>
      <c r="I598" s="10">
        <v>61.54</v>
      </c>
    </row>
    <row r="599" spans="1:9" s="2" customFormat="1" ht="21.75" customHeight="1">
      <c r="A599" s="8" t="s">
        <v>37</v>
      </c>
      <c r="B599" s="8" t="s">
        <v>39</v>
      </c>
      <c r="C599" s="9" t="str">
        <f t="shared" si="9"/>
        <v>230097</v>
      </c>
      <c r="D599" s="9" t="str">
        <f>"230913822"</f>
        <v>230913822</v>
      </c>
      <c r="E599" s="10">
        <v>66.52</v>
      </c>
      <c r="F599" s="10"/>
      <c r="G599" s="10">
        <v>58.12</v>
      </c>
      <c r="H599" s="10"/>
      <c r="I599" s="10">
        <v>61.48</v>
      </c>
    </row>
    <row r="600" spans="1:9" s="2" customFormat="1" ht="21.75" customHeight="1">
      <c r="A600" s="8" t="s">
        <v>37</v>
      </c>
      <c r="B600" s="8" t="s">
        <v>39</v>
      </c>
      <c r="C600" s="9" t="str">
        <f t="shared" si="9"/>
        <v>230097</v>
      </c>
      <c r="D600" s="9" t="str">
        <f>"230913927"</f>
        <v>230913927</v>
      </c>
      <c r="E600" s="10">
        <v>76.77</v>
      </c>
      <c r="F600" s="10"/>
      <c r="G600" s="10">
        <v>51.24</v>
      </c>
      <c r="H600" s="10"/>
      <c r="I600" s="10">
        <v>61.45</v>
      </c>
    </row>
    <row r="601" spans="1:9" s="3" customFormat="1" ht="21.75" customHeight="1">
      <c r="A601" s="8" t="s">
        <v>37</v>
      </c>
      <c r="B601" s="8" t="s">
        <v>39</v>
      </c>
      <c r="C601" s="9" t="str">
        <f t="shared" si="9"/>
        <v>230097</v>
      </c>
      <c r="D601" s="9" t="str">
        <f>"230914414"</f>
        <v>230914414</v>
      </c>
      <c r="E601" s="10">
        <v>64.11</v>
      </c>
      <c r="F601" s="10"/>
      <c r="G601" s="10">
        <v>59.67</v>
      </c>
      <c r="H601" s="10"/>
      <c r="I601" s="10">
        <v>61.45</v>
      </c>
    </row>
    <row r="602" spans="1:9" s="2" customFormat="1" ht="21.75" customHeight="1">
      <c r="A602" s="8" t="s">
        <v>37</v>
      </c>
      <c r="B602" s="8" t="s">
        <v>39</v>
      </c>
      <c r="C602" s="9" t="str">
        <f t="shared" si="9"/>
        <v>230097</v>
      </c>
      <c r="D602" s="9" t="str">
        <f>"230914201"</f>
        <v>230914201</v>
      </c>
      <c r="E602" s="10">
        <v>66.760000000000005</v>
      </c>
      <c r="F602" s="10"/>
      <c r="G602" s="10">
        <v>57.88</v>
      </c>
      <c r="H602" s="10"/>
      <c r="I602" s="10">
        <v>61.43</v>
      </c>
    </row>
    <row r="603" spans="1:9" s="2" customFormat="1" ht="21.75" customHeight="1">
      <c r="A603" s="8" t="s">
        <v>37</v>
      </c>
      <c r="B603" s="8" t="s">
        <v>39</v>
      </c>
      <c r="C603" s="9" t="str">
        <f t="shared" si="9"/>
        <v>230097</v>
      </c>
      <c r="D603" s="9" t="str">
        <f>"230914220"</f>
        <v>230914220</v>
      </c>
      <c r="E603" s="10">
        <v>61.7</v>
      </c>
      <c r="F603" s="10"/>
      <c r="G603" s="10">
        <v>61.25</v>
      </c>
      <c r="H603" s="10"/>
      <c r="I603" s="10">
        <v>61.43</v>
      </c>
    </row>
    <row r="604" spans="1:9" s="2" customFormat="1" ht="21.75" customHeight="1">
      <c r="A604" s="8" t="s">
        <v>37</v>
      </c>
      <c r="B604" s="8" t="s">
        <v>39</v>
      </c>
      <c r="C604" s="9" t="str">
        <f t="shared" si="9"/>
        <v>230097</v>
      </c>
      <c r="D604" s="9" t="str">
        <f>"230912720"</f>
        <v>230912720</v>
      </c>
      <c r="E604" s="10">
        <v>66.069999999999993</v>
      </c>
      <c r="F604" s="10"/>
      <c r="G604" s="10">
        <v>58.16</v>
      </c>
      <c r="H604" s="10"/>
      <c r="I604" s="10">
        <v>61.32</v>
      </c>
    </row>
    <row r="605" spans="1:9" s="2" customFormat="1" ht="21.75" customHeight="1">
      <c r="A605" s="8" t="s">
        <v>37</v>
      </c>
      <c r="B605" s="8" t="s">
        <v>39</v>
      </c>
      <c r="C605" s="9" t="str">
        <f t="shared" si="9"/>
        <v>230097</v>
      </c>
      <c r="D605" s="9" t="str">
        <f>"230913907"</f>
        <v>230913907</v>
      </c>
      <c r="E605" s="10">
        <v>70.09</v>
      </c>
      <c r="F605" s="10"/>
      <c r="G605" s="10">
        <v>55.34</v>
      </c>
      <c r="H605" s="10"/>
      <c r="I605" s="10">
        <v>61.24</v>
      </c>
    </row>
    <row r="606" spans="1:9" s="2" customFormat="1" ht="21.75" customHeight="1">
      <c r="A606" s="8" t="s">
        <v>37</v>
      </c>
      <c r="B606" s="8" t="s">
        <v>39</v>
      </c>
      <c r="C606" s="9" t="str">
        <f t="shared" si="9"/>
        <v>230097</v>
      </c>
      <c r="D606" s="9" t="str">
        <f>"230914427"</f>
        <v>230914427</v>
      </c>
      <c r="E606" s="10">
        <v>70.900000000000006</v>
      </c>
      <c r="F606" s="10"/>
      <c r="G606" s="10">
        <v>54.72</v>
      </c>
      <c r="H606" s="10"/>
      <c r="I606" s="10">
        <v>61.19</v>
      </c>
    </row>
    <row r="607" spans="1:9" s="3" customFormat="1" ht="21.75" customHeight="1">
      <c r="A607" s="8" t="s">
        <v>37</v>
      </c>
      <c r="B607" s="8" t="s">
        <v>39</v>
      </c>
      <c r="C607" s="9" t="str">
        <f t="shared" si="9"/>
        <v>230097</v>
      </c>
      <c r="D607" s="9" t="str">
        <f>"230912916"</f>
        <v>230912916</v>
      </c>
      <c r="E607" s="10">
        <v>61.95</v>
      </c>
      <c r="F607" s="10"/>
      <c r="G607" s="10">
        <v>60.55</v>
      </c>
      <c r="H607" s="10"/>
      <c r="I607" s="10">
        <v>61.11</v>
      </c>
    </row>
    <row r="608" spans="1:9" s="2" customFormat="1" ht="21.75" customHeight="1">
      <c r="A608" s="8" t="s">
        <v>37</v>
      </c>
      <c r="B608" s="8" t="s">
        <v>39</v>
      </c>
      <c r="C608" s="9" t="str">
        <f t="shared" si="9"/>
        <v>230097</v>
      </c>
      <c r="D608" s="9" t="str">
        <f>"230914526"</f>
        <v>230914526</v>
      </c>
      <c r="E608" s="10">
        <v>74.22</v>
      </c>
      <c r="F608" s="10"/>
      <c r="G608" s="10">
        <v>52.37</v>
      </c>
      <c r="H608" s="10"/>
      <c r="I608" s="10">
        <v>61.11</v>
      </c>
    </row>
    <row r="609" spans="1:9" s="2" customFormat="1" ht="21.75" customHeight="1">
      <c r="A609" s="8" t="s">
        <v>37</v>
      </c>
      <c r="B609" s="8" t="s">
        <v>39</v>
      </c>
      <c r="C609" s="9" t="str">
        <f t="shared" si="9"/>
        <v>230097</v>
      </c>
      <c r="D609" s="9" t="str">
        <f>"230913318"</f>
        <v>230913318</v>
      </c>
      <c r="E609" s="10">
        <v>76.42</v>
      </c>
      <c r="F609" s="10"/>
      <c r="G609" s="10">
        <v>50.89</v>
      </c>
      <c r="H609" s="10"/>
      <c r="I609" s="10">
        <v>61.1</v>
      </c>
    </row>
    <row r="610" spans="1:9" s="2" customFormat="1" ht="21.75" customHeight="1">
      <c r="A610" s="8" t="s">
        <v>37</v>
      </c>
      <c r="B610" s="8" t="s">
        <v>39</v>
      </c>
      <c r="C610" s="9" t="str">
        <f t="shared" si="9"/>
        <v>230097</v>
      </c>
      <c r="D610" s="9" t="str">
        <f>"230914219"</f>
        <v>230914219</v>
      </c>
      <c r="E610" s="10">
        <v>61.68</v>
      </c>
      <c r="F610" s="10"/>
      <c r="G610" s="10">
        <v>60.48</v>
      </c>
      <c r="H610" s="10"/>
      <c r="I610" s="10">
        <v>60.96</v>
      </c>
    </row>
    <row r="611" spans="1:9" s="2" customFormat="1" ht="21.75" customHeight="1">
      <c r="A611" s="8" t="s">
        <v>37</v>
      </c>
      <c r="B611" s="8" t="s">
        <v>39</v>
      </c>
      <c r="C611" s="9" t="str">
        <f t="shared" si="9"/>
        <v>230097</v>
      </c>
      <c r="D611" s="9" t="str">
        <f>"230912817"</f>
        <v>230912817</v>
      </c>
      <c r="E611" s="10">
        <v>64</v>
      </c>
      <c r="F611" s="10"/>
      <c r="G611" s="10">
        <v>58.9</v>
      </c>
      <c r="H611" s="10"/>
      <c r="I611" s="10">
        <v>60.94</v>
      </c>
    </row>
    <row r="612" spans="1:9" s="2" customFormat="1" ht="21.75" customHeight="1">
      <c r="A612" s="8" t="s">
        <v>37</v>
      </c>
      <c r="B612" s="8" t="s">
        <v>39</v>
      </c>
      <c r="C612" s="9" t="str">
        <f t="shared" si="9"/>
        <v>230097</v>
      </c>
      <c r="D612" s="9" t="str">
        <f>"230913914"</f>
        <v>230913914</v>
      </c>
      <c r="E612" s="10">
        <v>59.4</v>
      </c>
      <c r="F612" s="10"/>
      <c r="G612" s="10">
        <v>61.93</v>
      </c>
      <c r="H612" s="10"/>
      <c r="I612" s="10">
        <v>60.92</v>
      </c>
    </row>
    <row r="613" spans="1:9" s="2" customFormat="1" ht="21.75" customHeight="1">
      <c r="A613" s="8" t="s">
        <v>37</v>
      </c>
      <c r="B613" s="8" t="s">
        <v>39</v>
      </c>
      <c r="C613" s="9" t="str">
        <f t="shared" si="9"/>
        <v>230097</v>
      </c>
      <c r="D613" s="9" t="str">
        <f>"230914517"</f>
        <v>230914517</v>
      </c>
      <c r="E613" s="10">
        <v>60.98</v>
      </c>
      <c r="F613" s="10"/>
      <c r="G613" s="10">
        <v>60.87</v>
      </c>
      <c r="H613" s="10"/>
      <c r="I613" s="10">
        <v>60.91</v>
      </c>
    </row>
    <row r="614" spans="1:9" s="3" customFormat="1" ht="21.75" customHeight="1">
      <c r="A614" s="8" t="s">
        <v>37</v>
      </c>
      <c r="B614" s="8" t="s">
        <v>39</v>
      </c>
      <c r="C614" s="9" t="str">
        <f t="shared" si="9"/>
        <v>230097</v>
      </c>
      <c r="D614" s="9" t="str">
        <f>"230912617"</f>
        <v>230912617</v>
      </c>
      <c r="E614" s="10">
        <v>68.81</v>
      </c>
      <c r="F614" s="10"/>
      <c r="G614" s="10">
        <v>55.62</v>
      </c>
      <c r="H614" s="10"/>
      <c r="I614" s="10">
        <v>60.9</v>
      </c>
    </row>
    <row r="615" spans="1:9" s="2" customFormat="1" ht="21.75" customHeight="1">
      <c r="A615" s="8" t="s">
        <v>37</v>
      </c>
      <c r="B615" s="8" t="s">
        <v>39</v>
      </c>
      <c r="C615" s="9" t="str">
        <f t="shared" si="9"/>
        <v>230097</v>
      </c>
      <c r="D615" s="9" t="str">
        <f>"230914508"</f>
        <v>230914508</v>
      </c>
      <c r="E615" s="10">
        <v>76.64</v>
      </c>
      <c r="F615" s="10"/>
      <c r="G615" s="10">
        <v>50.38</v>
      </c>
      <c r="H615" s="10"/>
      <c r="I615" s="10">
        <v>60.88</v>
      </c>
    </row>
    <row r="616" spans="1:9" s="2" customFormat="1" ht="21.75" customHeight="1">
      <c r="A616" s="8" t="s">
        <v>37</v>
      </c>
      <c r="B616" s="8" t="s">
        <v>39</v>
      </c>
      <c r="C616" s="9" t="str">
        <f t="shared" si="9"/>
        <v>230097</v>
      </c>
      <c r="D616" s="9" t="str">
        <f>"230914405"</f>
        <v>230914405</v>
      </c>
      <c r="E616" s="10">
        <v>72.39</v>
      </c>
      <c r="F616" s="10"/>
      <c r="G616" s="10">
        <v>53.04</v>
      </c>
      <c r="H616" s="10"/>
      <c r="I616" s="10">
        <v>60.78</v>
      </c>
    </row>
    <row r="617" spans="1:9" s="3" customFormat="1" ht="21.75" customHeight="1">
      <c r="A617" s="8" t="s">
        <v>37</v>
      </c>
      <c r="B617" s="8" t="s">
        <v>39</v>
      </c>
      <c r="C617" s="9" t="str">
        <f t="shared" si="9"/>
        <v>230097</v>
      </c>
      <c r="D617" s="9" t="str">
        <f>"230913208"</f>
        <v>230913208</v>
      </c>
      <c r="E617" s="10">
        <v>66.06</v>
      </c>
      <c r="F617" s="10"/>
      <c r="G617" s="10">
        <v>57.25</v>
      </c>
      <c r="H617" s="10"/>
      <c r="I617" s="10">
        <v>60.77</v>
      </c>
    </row>
    <row r="618" spans="1:9" s="3" customFormat="1" ht="21.75" customHeight="1">
      <c r="A618" s="8" t="s">
        <v>37</v>
      </c>
      <c r="B618" s="8" t="s">
        <v>39</v>
      </c>
      <c r="C618" s="9" t="str">
        <f t="shared" si="9"/>
        <v>230097</v>
      </c>
      <c r="D618" s="9" t="str">
        <f>"230912802"</f>
        <v>230912802</v>
      </c>
      <c r="E618" s="10">
        <v>62.38</v>
      </c>
      <c r="F618" s="10"/>
      <c r="G618" s="10">
        <v>59.58</v>
      </c>
      <c r="H618" s="10"/>
      <c r="I618" s="10">
        <v>60.7</v>
      </c>
    </row>
    <row r="619" spans="1:9" s="2" customFormat="1" ht="21.75" customHeight="1">
      <c r="A619" s="8" t="s">
        <v>37</v>
      </c>
      <c r="B619" s="8" t="s">
        <v>39</v>
      </c>
      <c r="C619" s="9" t="str">
        <f t="shared" si="9"/>
        <v>230097</v>
      </c>
      <c r="D619" s="9" t="str">
        <f>"230913012"</f>
        <v>230913012</v>
      </c>
      <c r="E619" s="10">
        <v>69.400000000000006</v>
      </c>
      <c r="F619" s="10"/>
      <c r="G619" s="10">
        <v>54.86</v>
      </c>
      <c r="H619" s="10"/>
      <c r="I619" s="10">
        <v>60.68</v>
      </c>
    </row>
    <row r="620" spans="1:9" s="2" customFormat="1" ht="21.75" customHeight="1">
      <c r="A620" s="8" t="s">
        <v>37</v>
      </c>
      <c r="B620" s="8" t="s">
        <v>39</v>
      </c>
      <c r="C620" s="9" t="str">
        <f t="shared" si="9"/>
        <v>230097</v>
      </c>
      <c r="D620" s="9" t="str">
        <f>"230913917"</f>
        <v>230913917</v>
      </c>
      <c r="E620" s="10">
        <v>64.22</v>
      </c>
      <c r="F620" s="10"/>
      <c r="G620" s="10">
        <v>58.32</v>
      </c>
      <c r="H620" s="10"/>
      <c r="I620" s="10">
        <v>60.68</v>
      </c>
    </row>
    <row r="621" spans="1:9" s="3" customFormat="1" ht="21.75" customHeight="1">
      <c r="A621" s="8" t="s">
        <v>37</v>
      </c>
      <c r="B621" s="8" t="s">
        <v>39</v>
      </c>
      <c r="C621" s="9" t="str">
        <f t="shared" si="9"/>
        <v>230097</v>
      </c>
      <c r="D621" s="9" t="str">
        <f>"230912910"</f>
        <v>230912910</v>
      </c>
      <c r="E621" s="10">
        <v>75.260000000000005</v>
      </c>
      <c r="F621" s="10"/>
      <c r="G621" s="10">
        <v>50.63</v>
      </c>
      <c r="H621" s="10"/>
      <c r="I621" s="10">
        <v>60.48</v>
      </c>
    </row>
    <row r="622" spans="1:9" s="2" customFormat="1" ht="21.75" customHeight="1">
      <c r="A622" s="8" t="s">
        <v>37</v>
      </c>
      <c r="B622" s="8" t="s">
        <v>39</v>
      </c>
      <c r="C622" s="9" t="str">
        <f t="shared" si="9"/>
        <v>230097</v>
      </c>
      <c r="D622" s="9" t="str">
        <f>"230912730"</f>
        <v>230912730</v>
      </c>
      <c r="E622" s="10">
        <v>70.319999999999993</v>
      </c>
      <c r="F622" s="10"/>
      <c r="G622" s="10">
        <v>53.89</v>
      </c>
      <c r="H622" s="10"/>
      <c r="I622" s="10">
        <v>60.46</v>
      </c>
    </row>
    <row r="623" spans="1:9" s="2" customFormat="1" ht="21.75" customHeight="1">
      <c r="A623" s="8" t="s">
        <v>37</v>
      </c>
      <c r="B623" s="8" t="s">
        <v>39</v>
      </c>
      <c r="C623" s="9" t="str">
        <f t="shared" si="9"/>
        <v>230097</v>
      </c>
      <c r="D623" s="9" t="str">
        <f>"230913507"</f>
        <v>230913507</v>
      </c>
      <c r="E623" s="10">
        <v>69.290000000000006</v>
      </c>
      <c r="F623" s="10"/>
      <c r="G623" s="10">
        <v>54.28</v>
      </c>
      <c r="H623" s="10"/>
      <c r="I623" s="10">
        <v>60.28</v>
      </c>
    </row>
    <row r="624" spans="1:9" s="2" customFormat="1" ht="21.75" customHeight="1">
      <c r="A624" s="8" t="s">
        <v>37</v>
      </c>
      <c r="B624" s="8" t="s">
        <v>39</v>
      </c>
      <c r="C624" s="9" t="str">
        <f t="shared" si="9"/>
        <v>230097</v>
      </c>
      <c r="D624" s="9" t="str">
        <f>"230914006"</f>
        <v>230914006</v>
      </c>
      <c r="E624" s="10">
        <v>59.64</v>
      </c>
      <c r="F624" s="10"/>
      <c r="G624" s="10">
        <v>60.68</v>
      </c>
      <c r="H624" s="10"/>
      <c r="I624" s="10">
        <v>60.26</v>
      </c>
    </row>
    <row r="625" spans="1:9" s="2" customFormat="1" ht="21.75" customHeight="1">
      <c r="A625" s="8" t="s">
        <v>37</v>
      </c>
      <c r="B625" s="8" t="s">
        <v>39</v>
      </c>
      <c r="C625" s="9" t="str">
        <f t="shared" si="9"/>
        <v>230097</v>
      </c>
      <c r="D625" s="9" t="str">
        <f>"230913321"</f>
        <v>230913321</v>
      </c>
      <c r="E625" s="10">
        <v>71.23</v>
      </c>
      <c r="F625" s="10"/>
      <c r="G625" s="10">
        <v>52.92</v>
      </c>
      <c r="H625" s="10"/>
      <c r="I625" s="10">
        <v>60.24</v>
      </c>
    </row>
    <row r="626" spans="1:9" s="3" customFormat="1" ht="21.75" customHeight="1">
      <c r="A626" s="8" t="s">
        <v>37</v>
      </c>
      <c r="B626" s="8" t="s">
        <v>39</v>
      </c>
      <c r="C626" s="9" t="str">
        <f t="shared" si="9"/>
        <v>230097</v>
      </c>
      <c r="D626" s="9" t="str">
        <f>"230913006"</f>
        <v>230913006</v>
      </c>
      <c r="E626" s="10">
        <v>67.680000000000007</v>
      </c>
      <c r="F626" s="10"/>
      <c r="G626" s="10">
        <v>55.27</v>
      </c>
      <c r="H626" s="10"/>
      <c r="I626" s="10">
        <v>60.23</v>
      </c>
    </row>
    <row r="627" spans="1:9" s="2" customFormat="1" ht="21.75" customHeight="1">
      <c r="A627" s="8" t="s">
        <v>37</v>
      </c>
      <c r="B627" s="8" t="s">
        <v>39</v>
      </c>
      <c r="C627" s="9" t="str">
        <f t="shared" si="9"/>
        <v>230097</v>
      </c>
      <c r="D627" s="9" t="str">
        <f>"230913510"</f>
        <v>230913510</v>
      </c>
      <c r="E627" s="10">
        <v>62.62</v>
      </c>
      <c r="F627" s="10"/>
      <c r="G627" s="10">
        <v>58.54</v>
      </c>
      <c r="H627" s="10"/>
      <c r="I627" s="10">
        <v>60.17</v>
      </c>
    </row>
    <row r="628" spans="1:9" s="2" customFormat="1" ht="21.75" customHeight="1">
      <c r="A628" s="8" t="s">
        <v>37</v>
      </c>
      <c r="B628" s="8" t="s">
        <v>39</v>
      </c>
      <c r="C628" s="9" t="str">
        <f t="shared" si="9"/>
        <v>230097</v>
      </c>
      <c r="D628" s="9" t="str">
        <f>"230914024"</f>
        <v>230914024</v>
      </c>
      <c r="E628" s="10">
        <v>68.14</v>
      </c>
      <c r="F628" s="10"/>
      <c r="G628" s="10">
        <v>54.82</v>
      </c>
      <c r="H628" s="10"/>
      <c r="I628" s="10">
        <v>60.15</v>
      </c>
    </row>
    <row r="629" spans="1:9" s="3" customFormat="1" ht="21.75" customHeight="1">
      <c r="A629" s="8" t="s">
        <v>37</v>
      </c>
      <c r="B629" s="8" t="s">
        <v>39</v>
      </c>
      <c r="C629" s="9" t="str">
        <f t="shared" si="9"/>
        <v>230097</v>
      </c>
      <c r="D629" s="9" t="str">
        <f>"230912927"</f>
        <v>230912927</v>
      </c>
      <c r="E629" s="10">
        <v>65.150000000000006</v>
      </c>
      <c r="F629" s="10"/>
      <c r="G629" s="10">
        <v>56.68</v>
      </c>
      <c r="H629" s="10"/>
      <c r="I629" s="10">
        <v>60.07</v>
      </c>
    </row>
    <row r="630" spans="1:9" s="2" customFormat="1" ht="21.75" customHeight="1">
      <c r="A630" s="8" t="s">
        <v>37</v>
      </c>
      <c r="B630" s="8" t="s">
        <v>39</v>
      </c>
      <c r="C630" s="9" t="str">
        <f t="shared" si="9"/>
        <v>230097</v>
      </c>
      <c r="D630" s="9" t="str">
        <f>"230913623"</f>
        <v>230913623</v>
      </c>
      <c r="E630" s="10">
        <v>60.55</v>
      </c>
      <c r="F630" s="10"/>
      <c r="G630" s="10">
        <v>59.52</v>
      </c>
      <c r="H630" s="10"/>
      <c r="I630" s="10">
        <v>59.93</v>
      </c>
    </row>
    <row r="631" spans="1:9" s="2" customFormat="1" ht="21.75" customHeight="1">
      <c r="A631" s="8" t="s">
        <v>37</v>
      </c>
      <c r="B631" s="8" t="s">
        <v>39</v>
      </c>
      <c r="C631" s="9" t="str">
        <f t="shared" si="9"/>
        <v>230097</v>
      </c>
      <c r="D631" s="9" t="str">
        <f>"230912703"</f>
        <v>230912703</v>
      </c>
      <c r="E631" s="10">
        <v>70.56</v>
      </c>
      <c r="F631" s="10"/>
      <c r="G631" s="10">
        <v>52.64</v>
      </c>
      <c r="H631" s="10"/>
      <c r="I631" s="10">
        <v>59.81</v>
      </c>
    </row>
    <row r="632" spans="1:9" s="3" customFormat="1" ht="21.75" customHeight="1">
      <c r="A632" s="8" t="s">
        <v>37</v>
      </c>
      <c r="B632" s="8" t="s">
        <v>39</v>
      </c>
      <c r="C632" s="9" t="str">
        <f t="shared" si="9"/>
        <v>230097</v>
      </c>
      <c r="D632" s="9" t="str">
        <f>"230913306"</f>
        <v>230913306</v>
      </c>
      <c r="E632" s="10">
        <v>70.55</v>
      </c>
      <c r="F632" s="10"/>
      <c r="G632" s="10">
        <v>52.64</v>
      </c>
      <c r="H632" s="10"/>
      <c r="I632" s="10">
        <v>59.8</v>
      </c>
    </row>
    <row r="633" spans="1:9" s="2" customFormat="1" ht="21.75" customHeight="1">
      <c r="A633" s="8" t="s">
        <v>37</v>
      </c>
      <c r="B633" s="8" t="s">
        <v>39</v>
      </c>
      <c r="C633" s="9" t="str">
        <f t="shared" si="9"/>
        <v>230097</v>
      </c>
      <c r="D633" s="9" t="str">
        <f>"230912528"</f>
        <v>230912528</v>
      </c>
      <c r="E633" s="10">
        <v>70.89</v>
      </c>
      <c r="F633" s="10"/>
      <c r="G633" s="10">
        <v>52.29</v>
      </c>
      <c r="H633" s="10"/>
      <c r="I633" s="10">
        <v>59.73</v>
      </c>
    </row>
    <row r="634" spans="1:9" s="2" customFormat="1" ht="21.75" customHeight="1">
      <c r="A634" s="8" t="s">
        <v>37</v>
      </c>
      <c r="B634" s="8" t="s">
        <v>39</v>
      </c>
      <c r="C634" s="9" t="str">
        <f t="shared" si="9"/>
        <v>230097</v>
      </c>
      <c r="D634" s="9" t="str">
        <f>"230912906"</f>
        <v>230912906</v>
      </c>
      <c r="E634" s="10">
        <v>58.93</v>
      </c>
      <c r="F634" s="10"/>
      <c r="G634" s="10">
        <v>60.06</v>
      </c>
      <c r="H634" s="10"/>
      <c r="I634" s="10">
        <v>59.61</v>
      </c>
    </row>
    <row r="635" spans="1:9" s="2" customFormat="1" ht="21.75" customHeight="1">
      <c r="A635" s="8" t="s">
        <v>37</v>
      </c>
      <c r="B635" s="8" t="s">
        <v>39</v>
      </c>
      <c r="C635" s="9" t="str">
        <f t="shared" si="9"/>
        <v>230097</v>
      </c>
      <c r="D635" s="9" t="str">
        <f>"230914106"</f>
        <v>230914106</v>
      </c>
      <c r="E635" s="10">
        <v>59.98</v>
      </c>
      <c r="F635" s="10"/>
      <c r="G635" s="10">
        <v>59.22</v>
      </c>
      <c r="H635" s="10"/>
      <c r="I635" s="10">
        <v>59.52</v>
      </c>
    </row>
    <row r="636" spans="1:9" s="3" customFormat="1" ht="21.75" customHeight="1">
      <c r="A636" s="8" t="s">
        <v>37</v>
      </c>
      <c r="B636" s="8" t="s">
        <v>39</v>
      </c>
      <c r="C636" s="9" t="str">
        <f t="shared" si="9"/>
        <v>230097</v>
      </c>
      <c r="D636" s="9" t="str">
        <f>"230913725"</f>
        <v>230913725</v>
      </c>
      <c r="E636" s="10">
        <v>68.13</v>
      </c>
      <c r="F636" s="10"/>
      <c r="G636" s="10">
        <v>53.72</v>
      </c>
      <c r="H636" s="10"/>
      <c r="I636" s="10">
        <v>59.48</v>
      </c>
    </row>
    <row r="637" spans="1:9" s="3" customFormat="1" ht="21.75" customHeight="1">
      <c r="A637" s="8" t="s">
        <v>37</v>
      </c>
      <c r="B637" s="8" t="s">
        <v>39</v>
      </c>
      <c r="C637" s="9" t="str">
        <f t="shared" si="9"/>
        <v>230097</v>
      </c>
      <c r="D637" s="9" t="str">
        <f>"230914009"</f>
        <v>230914009</v>
      </c>
      <c r="E637" s="10">
        <v>63.31</v>
      </c>
      <c r="F637" s="10"/>
      <c r="G637" s="10">
        <v>56.88</v>
      </c>
      <c r="H637" s="10"/>
      <c r="I637" s="10">
        <v>59.45</v>
      </c>
    </row>
    <row r="638" spans="1:9" s="3" customFormat="1" ht="21.75" customHeight="1">
      <c r="A638" s="8" t="s">
        <v>37</v>
      </c>
      <c r="B638" s="8" t="s">
        <v>39</v>
      </c>
      <c r="C638" s="9" t="str">
        <f t="shared" si="9"/>
        <v>230097</v>
      </c>
      <c r="D638" s="9" t="str">
        <f>"230912909"</f>
        <v>230912909</v>
      </c>
      <c r="E638" s="10">
        <v>59.87</v>
      </c>
      <c r="F638" s="10"/>
      <c r="G638" s="10">
        <v>59.12</v>
      </c>
      <c r="H638" s="10"/>
      <c r="I638" s="10">
        <v>59.42</v>
      </c>
    </row>
    <row r="639" spans="1:9" s="2" customFormat="1" ht="21.75" customHeight="1">
      <c r="A639" s="8" t="s">
        <v>37</v>
      </c>
      <c r="B639" s="8" t="s">
        <v>39</v>
      </c>
      <c r="C639" s="9" t="str">
        <f t="shared" si="9"/>
        <v>230097</v>
      </c>
      <c r="D639" s="9" t="str">
        <f>"230913627"</f>
        <v>230913627</v>
      </c>
      <c r="E639" s="10">
        <v>65.37</v>
      </c>
      <c r="F639" s="10"/>
      <c r="G639" s="10">
        <v>55.46</v>
      </c>
      <c r="H639" s="10"/>
      <c r="I639" s="10">
        <v>59.42</v>
      </c>
    </row>
    <row r="640" spans="1:9" s="3" customFormat="1" ht="21.75" customHeight="1">
      <c r="A640" s="8" t="s">
        <v>37</v>
      </c>
      <c r="B640" s="8" t="s">
        <v>39</v>
      </c>
      <c r="C640" s="9" t="str">
        <f t="shared" si="9"/>
        <v>230097</v>
      </c>
      <c r="D640" s="9" t="str">
        <f>"230913708"</f>
        <v>230913708</v>
      </c>
      <c r="E640" s="10">
        <v>70.430000000000007</v>
      </c>
      <c r="F640" s="10"/>
      <c r="G640" s="10">
        <v>52.07</v>
      </c>
      <c r="H640" s="10"/>
      <c r="I640" s="10">
        <v>59.41</v>
      </c>
    </row>
    <row r="641" spans="1:9" s="3" customFormat="1" ht="21.75" customHeight="1">
      <c r="A641" s="8" t="s">
        <v>37</v>
      </c>
      <c r="B641" s="8" t="s">
        <v>39</v>
      </c>
      <c r="C641" s="9" t="str">
        <f t="shared" si="9"/>
        <v>230097</v>
      </c>
      <c r="D641" s="9" t="str">
        <f>"230912826"</f>
        <v>230912826</v>
      </c>
      <c r="E641" s="10">
        <v>57.92</v>
      </c>
      <c r="F641" s="10"/>
      <c r="G641" s="10">
        <v>60.29</v>
      </c>
      <c r="H641" s="10"/>
      <c r="I641" s="10">
        <v>59.34</v>
      </c>
    </row>
    <row r="642" spans="1:9" s="2" customFormat="1" ht="21.75" customHeight="1">
      <c r="A642" s="8" t="s">
        <v>37</v>
      </c>
      <c r="B642" s="8" t="s">
        <v>39</v>
      </c>
      <c r="C642" s="9" t="str">
        <f t="shared" si="9"/>
        <v>230097</v>
      </c>
      <c r="D642" s="9" t="str">
        <f>"230914110"</f>
        <v>230914110</v>
      </c>
      <c r="E642" s="10">
        <v>69.05</v>
      </c>
      <c r="F642" s="10"/>
      <c r="G642" s="10">
        <v>52.65</v>
      </c>
      <c r="H642" s="10"/>
      <c r="I642" s="10">
        <v>59.21</v>
      </c>
    </row>
    <row r="643" spans="1:9" s="2" customFormat="1" ht="21.75" customHeight="1">
      <c r="A643" s="8" t="s">
        <v>37</v>
      </c>
      <c r="B643" s="8" t="s">
        <v>39</v>
      </c>
      <c r="C643" s="9" t="str">
        <f t="shared" si="9"/>
        <v>230097</v>
      </c>
      <c r="D643" s="9" t="str">
        <f>"230914218"</f>
        <v>230914218</v>
      </c>
      <c r="E643" s="10">
        <v>73.67</v>
      </c>
      <c r="F643" s="10"/>
      <c r="G643" s="10">
        <v>49.5</v>
      </c>
      <c r="H643" s="10"/>
      <c r="I643" s="10">
        <v>59.17</v>
      </c>
    </row>
    <row r="644" spans="1:9" s="2" customFormat="1" ht="21.75" customHeight="1">
      <c r="A644" s="8" t="s">
        <v>37</v>
      </c>
      <c r="B644" s="8" t="s">
        <v>39</v>
      </c>
      <c r="C644" s="9" t="str">
        <f t="shared" si="9"/>
        <v>230097</v>
      </c>
      <c r="D644" s="9" t="str">
        <f>"230914506"</f>
        <v>230914506</v>
      </c>
      <c r="E644" s="10">
        <v>69.05</v>
      </c>
      <c r="F644" s="10"/>
      <c r="G644" s="10">
        <v>52.58</v>
      </c>
      <c r="H644" s="10"/>
      <c r="I644" s="10">
        <v>59.17</v>
      </c>
    </row>
    <row r="645" spans="1:9" s="3" customFormat="1" ht="21.75" customHeight="1">
      <c r="A645" s="8" t="s">
        <v>37</v>
      </c>
      <c r="B645" s="8" t="s">
        <v>39</v>
      </c>
      <c r="C645" s="9" t="str">
        <f t="shared" si="9"/>
        <v>230097</v>
      </c>
      <c r="D645" s="9" t="str">
        <f>"230912714"</f>
        <v>230912714</v>
      </c>
      <c r="E645" s="10">
        <v>69.98</v>
      </c>
      <c r="F645" s="10"/>
      <c r="G645" s="10">
        <v>51.94</v>
      </c>
      <c r="H645" s="10"/>
      <c r="I645" s="10">
        <v>59.16</v>
      </c>
    </row>
    <row r="646" spans="1:9" s="2" customFormat="1" ht="21.75" customHeight="1">
      <c r="A646" s="8" t="s">
        <v>37</v>
      </c>
      <c r="B646" s="8" t="s">
        <v>39</v>
      </c>
      <c r="C646" s="9" t="str">
        <f t="shared" ref="C646:C709" si="10">"230097"</f>
        <v>230097</v>
      </c>
      <c r="D646" s="9" t="str">
        <f>"230912726"</f>
        <v>230912726</v>
      </c>
      <c r="E646" s="10">
        <v>67.209999999999994</v>
      </c>
      <c r="F646" s="10"/>
      <c r="G646" s="10">
        <v>53.8</v>
      </c>
      <c r="H646" s="10"/>
      <c r="I646" s="10">
        <v>59.16</v>
      </c>
    </row>
    <row r="647" spans="1:9" s="2" customFormat="1" ht="21.75" customHeight="1">
      <c r="A647" s="8" t="s">
        <v>37</v>
      </c>
      <c r="B647" s="8" t="s">
        <v>39</v>
      </c>
      <c r="C647" s="9" t="str">
        <f t="shared" si="10"/>
        <v>230097</v>
      </c>
      <c r="D647" s="9" t="str">
        <f>"230913102"</f>
        <v>230913102</v>
      </c>
      <c r="E647" s="10">
        <v>67.209999999999994</v>
      </c>
      <c r="F647" s="10"/>
      <c r="G647" s="10">
        <v>53.61</v>
      </c>
      <c r="H647" s="10"/>
      <c r="I647" s="10">
        <v>59.05</v>
      </c>
    </row>
    <row r="648" spans="1:9" s="3" customFormat="1" ht="21.75" customHeight="1">
      <c r="A648" s="8" t="s">
        <v>37</v>
      </c>
      <c r="B648" s="8" t="s">
        <v>39</v>
      </c>
      <c r="C648" s="9" t="str">
        <f t="shared" si="10"/>
        <v>230097</v>
      </c>
      <c r="D648" s="9" t="str">
        <f>"230914612"</f>
        <v>230914612</v>
      </c>
      <c r="E648" s="10">
        <v>68.13</v>
      </c>
      <c r="F648" s="10"/>
      <c r="G648" s="10">
        <v>52.97</v>
      </c>
      <c r="H648" s="10"/>
      <c r="I648" s="10">
        <v>59.03</v>
      </c>
    </row>
    <row r="649" spans="1:9" s="2" customFormat="1" ht="21.75" customHeight="1">
      <c r="A649" s="8" t="s">
        <v>37</v>
      </c>
      <c r="B649" s="8" t="s">
        <v>39</v>
      </c>
      <c r="C649" s="9" t="str">
        <f t="shared" si="10"/>
        <v>230097</v>
      </c>
      <c r="D649" s="9" t="str">
        <f>"230913609"</f>
        <v>230913609</v>
      </c>
      <c r="E649" s="10">
        <v>70.89</v>
      </c>
      <c r="F649" s="10"/>
      <c r="G649" s="10">
        <v>51.1</v>
      </c>
      <c r="H649" s="10"/>
      <c r="I649" s="10">
        <v>59.02</v>
      </c>
    </row>
    <row r="650" spans="1:9" s="2" customFormat="1" ht="21.75" customHeight="1">
      <c r="A650" s="8" t="s">
        <v>37</v>
      </c>
      <c r="B650" s="8" t="s">
        <v>39</v>
      </c>
      <c r="C650" s="9" t="str">
        <f t="shared" si="10"/>
        <v>230097</v>
      </c>
      <c r="D650" s="9" t="str">
        <f>"230913410"</f>
        <v>230913410</v>
      </c>
      <c r="E650" s="10">
        <v>72.86</v>
      </c>
      <c r="F650" s="10"/>
      <c r="G650" s="10">
        <v>49.74</v>
      </c>
      <c r="H650" s="10"/>
      <c r="I650" s="10">
        <v>58.99</v>
      </c>
    </row>
    <row r="651" spans="1:9" s="3" customFormat="1" ht="21.75" customHeight="1">
      <c r="A651" s="8" t="s">
        <v>37</v>
      </c>
      <c r="B651" s="8" t="s">
        <v>39</v>
      </c>
      <c r="C651" s="9" t="str">
        <f t="shared" si="10"/>
        <v>230097</v>
      </c>
      <c r="D651" s="9" t="str">
        <f>"230914329"</f>
        <v>230914329</v>
      </c>
      <c r="E651" s="10">
        <v>71.47</v>
      </c>
      <c r="F651" s="10"/>
      <c r="G651" s="10">
        <v>50.66</v>
      </c>
      <c r="H651" s="10"/>
      <c r="I651" s="10">
        <v>58.98</v>
      </c>
    </row>
    <row r="652" spans="1:9" s="2" customFormat="1" ht="21.75" customHeight="1">
      <c r="A652" s="8" t="s">
        <v>37</v>
      </c>
      <c r="B652" s="8" t="s">
        <v>39</v>
      </c>
      <c r="C652" s="9" t="str">
        <f t="shared" si="10"/>
        <v>230097</v>
      </c>
      <c r="D652" s="9" t="str">
        <f>"230914426"</f>
        <v>230914426</v>
      </c>
      <c r="E652" s="10">
        <v>66.97</v>
      </c>
      <c r="F652" s="10"/>
      <c r="G652" s="10">
        <v>53.46</v>
      </c>
      <c r="H652" s="10"/>
      <c r="I652" s="10">
        <v>58.86</v>
      </c>
    </row>
    <row r="653" spans="1:9" s="3" customFormat="1" ht="21.75" customHeight="1">
      <c r="A653" s="8" t="s">
        <v>37</v>
      </c>
      <c r="B653" s="8" t="s">
        <v>39</v>
      </c>
      <c r="C653" s="9" t="str">
        <f t="shared" si="10"/>
        <v>230097</v>
      </c>
      <c r="D653" s="9" t="str">
        <f>"230914028"</f>
        <v>230914028</v>
      </c>
      <c r="E653" s="10">
        <v>62.52</v>
      </c>
      <c r="F653" s="10"/>
      <c r="G653" s="10">
        <v>56.38</v>
      </c>
      <c r="H653" s="10"/>
      <c r="I653" s="10">
        <v>58.84</v>
      </c>
    </row>
    <row r="654" spans="1:9" s="3" customFormat="1" ht="21.75" customHeight="1">
      <c r="A654" s="8" t="s">
        <v>37</v>
      </c>
      <c r="B654" s="8" t="s">
        <v>39</v>
      </c>
      <c r="C654" s="9" t="str">
        <f t="shared" si="10"/>
        <v>230097</v>
      </c>
      <c r="D654" s="9" t="str">
        <f>"230912608"</f>
        <v>230912608</v>
      </c>
      <c r="E654" s="10">
        <v>70.55</v>
      </c>
      <c r="F654" s="10"/>
      <c r="G654" s="10">
        <v>50.97</v>
      </c>
      <c r="H654" s="10"/>
      <c r="I654" s="10">
        <v>58.8</v>
      </c>
    </row>
    <row r="655" spans="1:9" s="2" customFormat="1" ht="21.75" customHeight="1">
      <c r="A655" s="8" t="s">
        <v>37</v>
      </c>
      <c r="B655" s="8" t="s">
        <v>39</v>
      </c>
      <c r="C655" s="9" t="str">
        <f t="shared" si="10"/>
        <v>230097</v>
      </c>
      <c r="D655" s="9" t="str">
        <f>"230913918"</f>
        <v>230913918</v>
      </c>
      <c r="E655" s="10">
        <v>56.63</v>
      </c>
      <c r="F655" s="10"/>
      <c r="G655" s="10">
        <v>60.2</v>
      </c>
      <c r="H655" s="10"/>
      <c r="I655" s="10">
        <v>58.77</v>
      </c>
    </row>
    <row r="656" spans="1:9" s="2" customFormat="1" ht="21.75" customHeight="1">
      <c r="A656" s="8" t="s">
        <v>37</v>
      </c>
      <c r="B656" s="8" t="s">
        <v>39</v>
      </c>
      <c r="C656" s="9" t="str">
        <f t="shared" si="10"/>
        <v>230097</v>
      </c>
      <c r="D656" s="9" t="str">
        <f>"230914208"</f>
        <v>230914208</v>
      </c>
      <c r="E656" s="10">
        <v>65.849999999999994</v>
      </c>
      <c r="F656" s="10"/>
      <c r="G656" s="10">
        <v>54.02</v>
      </c>
      <c r="H656" s="10"/>
      <c r="I656" s="10">
        <v>58.75</v>
      </c>
    </row>
    <row r="657" spans="1:9" s="3" customFormat="1" ht="21.75" customHeight="1">
      <c r="A657" s="8" t="s">
        <v>37</v>
      </c>
      <c r="B657" s="8" t="s">
        <v>39</v>
      </c>
      <c r="C657" s="9" t="str">
        <f t="shared" si="10"/>
        <v>230097</v>
      </c>
      <c r="D657" s="9" t="str">
        <f>"230912616"</f>
        <v>230912616</v>
      </c>
      <c r="E657" s="10">
        <v>63.66</v>
      </c>
      <c r="F657" s="10"/>
      <c r="G657" s="10">
        <v>55.4</v>
      </c>
      <c r="H657" s="10"/>
      <c r="I657" s="10">
        <v>58.7</v>
      </c>
    </row>
    <row r="658" spans="1:9" s="3" customFormat="1" ht="21.75" customHeight="1">
      <c r="A658" s="8" t="s">
        <v>37</v>
      </c>
      <c r="B658" s="8" t="s">
        <v>39</v>
      </c>
      <c r="C658" s="9" t="str">
        <f t="shared" si="10"/>
        <v>230097</v>
      </c>
      <c r="D658" s="9" t="str">
        <f>"230913916"</f>
        <v>230913916</v>
      </c>
      <c r="E658" s="10">
        <v>63.09</v>
      </c>
      <c r="F658" s="10"/>
      <c r="G658" s="10">
        <v>55.74</v>
      </c>
      <c r="H658" s="10"/>
      <c r="I658" s="10">
        <v>58.68</v>
      </c>
    </row>
    <row r="659" spans="1:9" s="3" customFormat="1" ht="21.75" customHeight="1">
      <c r="A659" s="8" t="s">
        <v>37</v>
      </c>
      <c r="B659" s="8" t="s">
        <v>39</v>
      </c>
      <c r="C659" s="9" t="str">
        <f t="shared" si="10"/>
        <v>230097</v>
      </c>
      <c r="D659" s="9" t="str">
        <f>"230914210"</f>
        <v>230914210</v>
      </c>
      <c r="E659" s="10">
        <v>70.209999999999994</v>
      </c>
      <c r="F659" s="10"/>
      <c r="G659" s="10">
        <v>50.99</v>
      </c>
      <c r="H659" s="10"/>
      <c r="I659" s="10">
        <v>58.68</v>
      </c>
    </row>
    <row r="660" spans="1:9" s="2" customFormat="1" ht="21.75" customHeight="1">
      <c r="A660" s="8" t="s">
        <v>37</v>
      </c>
      <c r="B660" s="8" t="s">
        <v>39</v>
      </c>
      <c r="C660" s="9" t="str">
        <f t="shared" si="10"/>
        <v>230097</v>
      </c>
      <c r="D660" s="9" t="str">
        <f>"230912612"</f>
        <v>230912612</v>
      </c>
      <c r="E660" s="10">
        <v>67.680000000000007</v>
      </c>
      <c r="F660" s="10"/>
      <c r="G660" s="10">
        <v>52.64</v>
      </c>
      <c r="H660" s="10"/>
      <c r="I660" s="10">
        <v>58.66</v>
      </c>
    </row>
    <row r="661" spans="1:9" s="3" customFormat="1" ht="21.75" customHeight="1">
      <c r="A661" s="8" t="s">
        <v>37</v>
      </c>
      <c r="B661" s="8" t="s">
        <v>39</v>
      </c>
      <c r="C661" s="9" t="str">
        <f t="shared" si="10"/>
        <v>230097</v>
      </c>
      <c r="D661" s="9" t="str">
        <f>"230913305"</f>
        <v>230913305</v>
      </c>
      <c r="E661" s="10">
        <v>70.900000000000006</v>
      </c>
      <c r="F661" s="10"/>
      <c r="G661" s="10">
        <v>50.48</v>
      </c>
      <c r="H661" s="10"/>
      <c r="I661" s="10">
        <v>58.65</v>
      </c>
    </row>
    <row r="662" spans="1:9" s="2" customFormat="1" ht="21.75" customHeight="1">
      <c r="A662" s="8" t="s">
        <v>37</v>
      </c>
      <c r="B662" s="8" t="s">
        <v>39</v>
      </c>
      <c r="C662" s="9" t="str">
        <f t="shared" si="10"/>
        <v>230097</v>
      </c>
      <c r="D662" s="9" t="str">
        <f>"230914216"</f>
        <v>230914216</v>
      </c>
      <c r="E662" s="10">
        <v>70.19</v>
      </c>
      <c r="F662" s="10"/>
      <c r="G662" s="10">
        <v>50.93</v>
      </c>
      <c r="H662" s="10"/>
      <c r="I662" s="10">
        <v>58.63</v>
      </c>
    </row>
    <row r="663" spans="1:9" s="3" customFormat="1" ht="21.75" customHeight="1">
      <c r="A663" s="8" t="s">
        <v>37</v>
      </c>
      <c r="B663" s="8" t="s">
        <v>39</v>
      </c>
      <c r="C663" s="9" t="str">
        <f t="shared" si="10"/>
        <v>230097</v>
      </c>
      <c r="D663" s="9" t="str">
        <f>"230912704"</f>
        <v>230912704</v>
      </c>
      <c r="E663" s="10">
        <v>62.62</v>
      </c>
      <c r="F663" s="10"/>
      <c r="G663" s="10">
        <v>55.95</v>
      </c>
      <c r="H663" s="10"/>
      <c r="I663" s="10">
        <v>58.62</v>
      </c>
    </row>
    <row r="664" spans="1:9" s="2" customFormat="1" ht="21.75" customHeight="1">
      <c r="A664" s="8" t="s">
        <v>37</v>
      </c>
      <c r="B664" s="8" t="s">
        <v>39</v>
      </c>
      <c r="C664" s="9" t="str">
        <f t="shared" si="10"/>
        <v>230097</v>
      </c>
      <c r="D664" s="9" t="str">
        <f>"230912728"</f>
        <v>230912728</v>
      </c>
      <c r="E664" s="10">
        <v>55.7</v>
      </c>
      <c r="F664" s="10"/>
      <c r="G664" s="10">
        <v>60.51</v>
      </c>
      <c r="H664" s="10"/>
      <c r="I664" s="10">
        <v>58.59</v>
      </c>
    </row>
    <row r="665" spans="1:9" s="2" customFormat="1" ht="21.75" customHeight="1">
      <c r="A665" s="8" t="s">
        <v>37</v>
      </c>
      <c r="B665" s="8" t="s">
        <v>39</v>
      </c>
      <c r="C665" s="9" t="str">
        <f t="shared" si="10"/>
        <v>230097</v>
      </c>
      <c r="D665" s="9" t="str">
        <f>"230913825"</f>
        <v>230913825</v>
      </c>
      <c r="E665" s="10">
        <v>74.900000000000006</v>
      </c>
      <c r="F665" s="10"/>
      <c r="G665" s="10">
        <v>47.64</v>
      </c>
      <c r="H665" s="10"/>
      <c r="I665" s="10">
        <v>58.54</v>
      </c>
    </row>
    <row r="666" spans="1:9" s="3" customFormat="1" ht="21.75" customHeight="1">
      <c r="A666" s="8" t="s">
        <v>37</v>
      </c>
      <c r="B666" s="8" t="s">
        <v>39</v>
      </c>
      <c r="C666" s="9" t="str">
        <f t="shared" si="10"/>
        <v>230097</v>
      </c>
      <c r="D666" s="9" t="str">
        <f>"230913614"</f>
        <v>230913614</v>
      </c>
      <c r="E666" s="10">
        <v>62.4</v>
      </c>
      <c r="F666" s="10"/>
      <c r="G666" s="10">
        <v>55.91</v>
      </c>
      <c r="H666" s="10"/>
      <c r="I666" s="10">
        <v>58.51</v>
      </c>
    </row>
    <row r="667" spans="1:9" s="2" customFormat="1" ht="21.75" customHeight="1">
      <c r="A667" s="8" t="s">
        <v>37</v>
      </c>
      <c r="B667" s="8" t="s">
        <v>39</v>
      </c>
      <c r="C667" s="9" t="str">
        <f t="shared" si="10"/>
        <v>230097</v>
      </c>
      <c r="D667" s="9" t="str">
        <f>"230914204"</f>
        <v>230914204</v>
      </c>
      <c r="E667" s="10">
        <v>69.97</v>
      </c>
      <c r="F667" s="10"/>
      <c r="G667" s="10">
        <v>50.83</v>
      </c>
      <c r="H667" s="10"/>
      <c r="I667" s="10">
        <v>58.49</v>
      </c>
    </row>
    <row r="668" spans="1:9" s="2" customFormat="1" ht="21.75" customHeight="1">
      <c r="A668" s="8" t="s">
        <v>37</v>
      </c>
      <c r="B668" s="8" t="s">
        <v>39</v>
      </c>
      <c r="C668" s="9" t="str">
        <f t="shared" si="10"/>
        <v>230097</v>
      </c>
      <c r="D668" s="9" t="str">
        <f>"230914109"</f>
        <v>230914109</v>
      </c>
      <c r="E668" s="10">
        <v>62.84</v>
      </c>
      <c r="F668" s="10"/>
      <c r="G668" s="10">
        <v>55.58</v>
      </c>
      <c r="H668" s="10"/>
      <c r="I668" s="10">
        <v>58.48</v>
      </c>
    </row>
    <row r="669" spans="1:9" s="2" customFormat="1" ht="21.75" customHeight="1">
      <c r="A669" s="8" t="s">
        <v>37</v>
      </c>
      <c r="B669" s="8" t="s">
        <v>39</v>
      </c>
      <c r="C669" s="9" t="str">
        <f t="shared" si="10"/>
        <v>230097</v>
      </c>
      <c r="D669" s="9" t="str">
        <f>"230912830"</f>
        <v>230912830</v>
      </c>
      <c r="E669" s="10">
        <v>60.3</v>
      </c>
      <c r="F669" s="10"/>
      <c r="G669" s="10">
        <v>57.22</v>
      </c>
      <c r="H669" s="10"/>
      <c r="I669" s="10">
        <v>58.45</v>
      </c>
    </row>
    <row r="670" spans="1:9" s="2" customFormat="1" ht="21.75" customHeight="1">
      <c r="A670" s="8" t="s">
        <v>37</v>
      </c>
      <c r="B670" s="8" t="s">
        <v>39</v>
      </c>
      <c r="C670" s="9" t="str">
        <f t="shared" si="10"/>
        <v>230097</v>
      </c>
      <c r="D670" s="9" t="str">
        <f>"230913303"</f>
        <v>230913303</v>
      </c>
      <c r="E670" s="10">
        <v>62.98</v>
      </c>
      <c r="F670" s="10"/>
      <c r="G670" s="10">
        <v>55.37</v>
      </c>
      <c r="H670" s="10"/>
      <c r="I670" s="10">
        <v>58.41</v>
      </c>
    </row>
    <row r="671" spans="1:9" s="2" customFormat="1" ht="21.75" customHeight="1">
      <c r="A671" s="8" t="s">
        <v>37</v>
      </c>
      <c r="B671" s="8" t="s">
        <v>39</v>
      </c>
      <c r="C671" s="9" t="str">
        <f t="shared" si="10"/>
        <v>230097</v>
      </c>
      <c r="D671" s="9" t="str">
        <f>"230913607"</f>
        <v>230913607</v>
      </c>
      <c r="E671" s="10">
        <v>68.13</v>
      </c>
      <c r="F671" s="10"/>
      <c r="G671" s="10">
        <v>51.87</v>
      </c>
      <c r="H671" s="10"/>
      <c r="I671" s="10">
        <v>58.37</v>
      </c>
    </row>
    <row r="672" spans="1:9" s="2" customFormat="1" ht="21.75" customHeight="1">
      <c r="A672" s="8" t="s">
        <v>37</v>
      </c>
      <c r="B672" s="8" t="s">
        <v>39</v>
      </c>
      <c r="C672" s="9" t="str">
        <f t="shared" si="10"/>
        <v>230097</v>
      </c>
      <c r="D672" s="9" t="str">
        <f>"230912619"</f>
        <v>230912619</v>
      </c>
      <c r="E672" s="10">
        <v>64.349999999999994</v>
      </c>
      <c r="F672" s="10"/>
      <c r="G672" s="10">
        <v>54.31</v>
      </c>
      <c r="H672" s="10"/>
      <c r="I672" s="10">
        <v>58.33</v>
      </c>
    </row>
    <row r="673" spans="1:9" s="2" customFormat="1" ht="21.75" customHeight="1">
      <c r="A673" s="8" t="s">
        <v>37</v>
      </c>
      <c r="B673" s="8" t="s">
        <v>39</v>
      </c>
      <c r="C673" s="9" t="str">
        <f t="shared" si="10"/>
        <v>230097</v>
      </c>
      <c r="D673" s="9" t="str">
        <f>"230913124"</f>
        <v>230913124</v>
      </c>
      <c r="E673" s="10">
        <v>70.540000000000006</v>
      </c>
      <c r="F673" s="10"/>
      <c r="G673" s="10">
        <v>50.17</v>
      </c>
      <c r="H673" s="10"/>
      <c r="I673" s="10">
        <v>58.32</v>
      </c>
    </row>
    <row r="674" spans="1:9" s="2" customFormat="1" ht="21.75" customHeight="1">
      <c r="A674" s="8" t="s">
        <v>37</v>
      </c>
      <c r="B674" s="8" t="s">
        <v>39</v>
      </c>
      <c r="C674" s="9" t="str">
        <f t="shared" si="10"/>
        <v>230097</v>
      </c>
      <c r="D674" s="9" t="str">
        <f>"230914005"</f>
        <v>230914005</v>
      </c>
      <c r="E674" s="10">
        <v>60.32</v>
      </c>
      <c r="F674" s="10"/>
      <c r="G674" s="10">
        <v>56.82</v>
      </c>
      <c r="H674" s="10"/>
      <c r="I674" s="10">
        <v>58.22</v>
      </c>
    </row>
    <row r="675" spans="1:9" s="2" customFormat="1" ht="21.75" customHeight="1">
      <c r="A675" s="8" t="s">
        <v>37</v>
      </c>
      <c r="B675" s="8" t="s">
        <v>39</v>
      </c>
      <c r="C675" s="9" t="str">
        <f t="shared" si="10"/>
        <v>230097</v>
      </c>
      <c r="D675" s="9" t="str">
        <f>"230913503"</f>
        <v>230913503</v>
      </c>
      <c r="E675" s="10">
        <v>63.88</v>
      </c>
      <c r="F675" s="10"/>
      <c r="G675" s="10">
        <v>54.38</v>
      </c>
      <c r="H675" s="10"/>
      <c r="I675" s="10">
        <v>58.18</v>
      </c>
    </row>
    <row r="676" spans="1:9" s="2" customFormat="1" ht="21.75" customHeight="1">
      <c r="A676" s="8" t="s">
        <v>37</v>
      </c>
      <c r="B676" s="8" t="s">
        <v>39</v>
      </c>
      <c r="C676" s="9" t="str">
        <f t="shared" si="10"/>
        <v>230097</v>
      </c>
      <c r="D676" s="9" t="str">
        <f>"230913118"</f>
        <v>230913118</v>
      </c>
      <c r="E676" s="10">
        <v>62.72</v>
      </c>
      <c r="F676" s="10"/>
      <c r="G676" s="10">
        <v>54.96</v>
      </c>
      <c r="H676" s="10"/>
      <c r="I676" s="10">
        <v>58.06</v>
      </c>
    </row>
    <row r="677" spans="1:9" s="2" customFormat="1" ht="21.75" customHeight="1">
      <c r="A677" s="8" t="s">
        <v>37</v>
      </c>
      <c r="B677" s="8" t="s">
        <v>39</v>
      </c>
      <c r="C677" s="9" t="str">
        <f t="shared" si="10"/>
        <v>230097</v>
      </c>
      <c r="D677" s="9" t="str">
        <f>"230914029"</f>
        <v>230914029</v>
      </c>
      <c r="E677" s="10">
        <v>64.45</v>
      </c>
      <c r="F677" s="10"/>
      <c r="G677" s="10">
        <v>53.75</v>
      </c>
      <c r="H677" s="10"/>
      <c r="I677" s="10">
        <v>58.03</v>
      </c>
    </row>
    <row r="678" spans="1:9" s="2" customFormat="1" ht="21.75" customHeight="1">
      <c r="A678" s="8" t="s">
        <v>37</v>
      </c>
      <c r="B678" s="8" t="s">
        <v>39</v>
      </c>
      <c r="C678" s="9" t="str">
        <f t="shared" si="10"/>
        <v>230097</v>
      </c>
      <c r="D678" s="9" t="str">
        <f>"230912903"</f>
        <v>230912903</v>
      </c>
      <c r="E678" s="10">
        <v>71.47</v>
      </c>
      <c r="F678" s="10"/>
      <c r="G678" s="10">
        <v>48.97</v>
      </c>
      <c r="H678" s="10"/>
      <c r="I678" s="10">
        <v>57.97</v>
      </c>
    </row>
    <row r="679" spans="1:9" s="2" customFormat="1" ht="21.75" customHeight="1">
      <c r="A679" s="8" t="s">
        <v>37</v>
      </c>
      <c r="B679" s="8" t="s">
        <v>39</v>
      </c>
      <c r="C679" s="9" t="str">
        <f t="shared" si="10"/>
        <v>230097</v>
      </c>
      <c r="D679" s="9" t="str">
        <f>"230913421"</f>
        <v>230913421</v>
      </c>
      <c r="E679" s="10">
        <v>65.5</v>
      </c>
      <c r="F679" s="10"/>
      <c r="G679" s="10">
        <v>52.91</v>
      </c>
      <c r="H679" s="10"/>
      <c r="I679" s="10">
        <v>57.95</v>
      </c>
    </row>
    <row r="680" spans="1:9" s="2" customFormat="1" ht="21.75" customHeight="1">
      <c r="A680" s="8" t="s">
        <v>37</v>
      </c>
      <c r="B680" s="8" t="s">
        <v>39</v>
      </c>
      <c r="C680" s="9" t="str">
        <f t="shared" si="10"/>
        <v>230097</v>
      </c>
      <c r="D680" s="9" t="str">
        <f>"230913721"</f>
        <v>230913721</v>
      </c>
      <c r="E680" s="10">
        <v>64.34</v>
      </c>
      <c r="F680" s="10"/>
      <c r="G680" s="10">
        <v>53.65</v>
      </c>
      <c r="H680" s="10"/>
      <c r="I680" s="10">
        <v>57.93</v>
      </c>
    </row>
    <row r="681" spans="1:9" s="3" customFormat="1" ht="21.75" customHeight="1">
      <c r="A681" s="8" t="s">
        <v>37</v>
      </c>
      <c r="B681" s="8" t="s">
        <v>39</v>
      </c>
      <c r="C681" s="9" t="str">
        <f t="shared" si="10"/>
        <v>230097</v>
      </c>
      <c r="D681" s="9" t="str">
        <f>"230913930"</f>
        <v>230913930</v>
      </c>
      <c r="E681" s="10">
        <v>64.819999999999993</v>
      </c>
      <c r="F681" s="10"/>
      <c r="G681" s="10">
        <v>53.22</v>
      </c>
      <c r="H681" s="10"/>
      <c r="I681" s="10">
        <v>57.86</v>
      </c>
    </row>
    <row r="682" spans="1:9" s="2" customFormat="1" ht="21.75" customHeight="1">
      <c r="A682" s="8" t="s">
        <v>37</v>
      </c>
      <c r="B682" s="8" t="s">
        <v>39</v>
      </c>
      <c r="C682" s="9" t="str">
        <f t="shared" si="10"/>
        <v>230097</v>
      </c>
      <c r="D682" s="9" t="str">
        <f>"230914610"</f>
        <v>230914610</v>
      </c>
      <c r="E682" s="10">
        <v>62.39</v>
      </c>
      <c r="F682" s="10"/>
      <c r="G682" s="10">
        <v>54.84</v>
      </c>
      <c r="H682" s="10"/>
      <c r="I682" s="10">
        <v>57.86</v>
      </c>
    </row>
    <row r="683" spans="1:9" s="2" customFormat="1" ht="21.75" customHeight="1">
      <c r="A683" s="8" t="s">
        <v>37</v>
      </c>
      <c r="B683" s="8" t="s">
        <v>39</v>
      </c>
      <c r="C683" s="9" t="str">
        <f t="shared" si="10"/>
        <v>230097</v>
      </c>
      <c r="D683" s="9" t="str">
        <f>"230912605"</f>
        <v>230912605</v>
      </c>
      <c r="E683" s="10">
        <v>67.45</v>
      </c>
      <c r="F683" s="10"/>
      <c r="G683" s="10">
        <v>51.45</v>
      </c>
      <c r="H683" s="10"/>
      <c r="I683" s="10">
        <v>57.85</v>
      </c>
    </row>
    <row r="684" spans="1:9" s="3" customFormat="1" ht="21.75" customHeight="1">
      <c r="A684" s="8" t="s">
        <v>37</v>
      </c>
      <c r="B684" s="8" t="s">
        <v>39</v>
      </c>
      <c r="C684" s="9" t="str">
        <f t="shared" si="10"/>
        <v>230097</v>
      </c>
      <c r="D684" s="9" t="str">
        <f>"230913926"</f>
        <v>230913926</v>
      </c>
      <c r="E684" s="10">
        <v>62.04</v>
      </c>
      <c r="F684" s="10"/>
      <c r="G684" s="10">
        <v>55.01</v>
      </c>
      <c r="H684" s="10"/>
      <c r="I684" s="10">
        <v>57.82</v>
      </c>
    </row>
    <row r="685" spans="1:9" s="2" customFormat="1" ht="21.75" customHeight="1">
      <c r="A685" s="8" t="s">
        <v>37</v>
      </c>
      <c r="B685" s="8" t="s">
        <v>39</v>
      </c>
      <c r="C685" s="9" t="str">
        <f t="shared" si="10"/>
        <v>230097</v>
      </c>
      <c r="D685" s="9" t="str">
        <f>"230913313"</f>
        <v>230913313</v>
      </c>
      <c r="E685" s="10">
        <v>62.05</v>
      </c>
      <c r="F685" s="10"/>
      <c r="G685" s="10">
        <v>54.89</v>
      </c>
      <c r="H685" s="10"/>
      <c r="I685" s="10">
        <v>57.75</v>
      </c>
    </row>
    <row r="686" spans="1:9" s="2" customFormat="1" ht="21.75" customHeight="1">
      <c r="A686" s="8" t="s">
        <v>37</v>
      </c>
      <c r="B686" s="8" t="s">
        <v>39</v>
      </c>
      <c r="C686" s="9" t="str">
        <f t="shared" si="10"/>
        <v>230097</v>
      </c>
      <c r="D686" s="9" t="str">
        <f>"230914030"</f>
        <v>230914030</v>
      </c>
      <c r="E686" s="10">
        <v>71.12</v>
      </c>
      <c r="F686" s="10"/>
      <c r="G686" s="10">
        <v>48.83</v>
      </c>
      <c r="H686" s="10"/>
      <c r="I686" s="10">
        <v>57.75</v>
      </c>
    </row>
    <row r="687" spans="1:9" s="2" customFormat="1" ht="21.75" customHeight="1">
      <c r="A687" s="8" t="s">
        <v>37</v>
      </c>
      <c r="B687" s="8" t="s">
        <v>39</v>
      </c>
      <c r="C687" s="9" t="str">
        <f t="shared" si="10"/>
        <v>230097</v>
      </c>
      <c r="D687" s="9" t="str">
        <f>"230912806"</f>
        <v>230912806</v>
      </c>
      <c r="E687" s="10">
        <v>62.63</v>
      </c>
      <c r="F687" s="10"/>
      <c r="G687" s="10">
        <v>54.38</v>
      </c>
      <c r="H687" s="10"/>
      <c r="I687" s="10">
        <v>57.68</v>
      </c>
    </row>
    <row r="688" spans="1:9" s="3" customFormat="1" ht="21.75" customHeight="1">
      <c r="A688" s="8" t="s">
        <v>37</v>
      </c>
      <c r="B688" s="8" t="s">
        <v>39</v>
      </c>
      <c r="C688" s="9" t="str">
        <f t="shared" si="10"/>
        <v>230097</v>
      </c>
      <c r="D688" s="9" t="str">
        <f>"230913301"</f>
        <v>230913301</v>
      </c>
      <c r="E688" s="10">
        <v>66.069999999999993</v>
      </c>
      <c r="F688" s="10"/>
      <c r="G688" s="10">
        <v>51.88</v>
      </c>
      <c r="H688" s="10"/>
      <c r="I688" s="10">
        <v>57.56</v>
      </c>
    </row>
    <row r="689" spans="1:9" s="2" customFormat="1" ht="21.75" customHeight="1">
      <c r="A689" s="8" t="s">
        <v>37</v>
      </c>
      <c r="B689" s="8" t="s">
        <v>39</v>
      </c>
      <c r="C689" s="9" t="str">
        <f t="shared" si="10"/>
        <v>230097</v>
      </c>
      <c r="D689" s="9" t="str">
        <f>"230912715"</f>
        <v>230912715</v>
      </c>
      <c r="E689" s="10">
        <v>65.489999999999995</v>
      </c>
      <c r="F689" s="10"/>
      <c r="G689" s="10">
        <v>52.05</v>
      </c>
      <c r="H689" s="10"/>
      <c r="I689" s="10">
        <v>57.43</v>
      </c>
    </row>
    <row r="690" spans="1:9" s="3" customFormat="1" ht="21.75" customHeight="1">
      <c r="A690" s="8" t="s">
        <v>37</v>
      </c>
      <c r="B690" s="8" t="s">
        <v>39</v>
      </c>
      <c r="C690" s="9" t="str">
        <f t="shared" si="10"/>
        <v>230097</v>
      </c>
      <c r="D690" s="9" t="str">
        <f>"230913404"</f>
        <v>230913404</v>
      </c>
      <c r="E690" s="10">
        <v>65.13</v>
      </c>
      <c r="F690" s="10"/>
      <c r="G690" s="10">
        <v>52.18</v>
      </c>
      <c r="H690" s="10"/>
      <c r="I690" s="10">
        <v>57.36</v>
      </c>
    </row>
    <row r="691" spans="1:9" s="2" customFormat="1" ht="21.75" customHeight="1">
      <c r="A691" s="8" t="s">
        <v>37</v>
      </c>
      <c r="B691" s="8" t="s">
        <v>39</v>
      </c>
      <c r="C691" s="9" t="str">
        <f t="shared" si="10"/>
        <v>230097</v>
      </c>
      <c r="D691" s="9" t="str">
        <f>"230912708"</f>
        <v>230912708</v>
      </c>
      <c r="E691" s="10">
        <v>64.44</v>
      </c>
      <c r="F691" s="10"/>
      <c r="G691" s="10">
        <v>52.62</v>
      </c>
      <c r="H691" s="10"/>
      <c r="I691" s="10">
        <v>57.35</v>
      </c>
    </row>
    <row r="692" spans="1:9" s="3" customFormat="1" ht="21.75" customHeight="1">
      <c r="A692" s="8" t="s">
        <v>37</v>
      </c>
      <c r="B692" s="8" t="s">
        <v>39</v>
      </c>
      <c r="C692" s="9" t="str">
        <f t="shared" si="10"/>
        <v>230097</v>
      </c>
      <c r="D692" s="9" t="str">
        <f>"230912827"</f>
        <v>230912827</v>
      </c>
      <c r="E692" s="10">
        <v>62.74</v>
      </c>
      <c r="F692" s="10"/>
      <c r="G692" s="10">
        <v>53.63</v>
      </c>
      <c r="H692" s="10"/>
      <c r="I692" s="10">
        <v>57.27</v>
      </c>
    </row>
    <row r="693" spans="1:9" s="3" customFormat="1" ht="21.75" customHeight="1">
      <c r="A693" s="8" t="s">
        <v>37</v>
      </c>
      <c r="B693" s="8" t="s">
        <v>39</v>
      </c>
      <c r="C693" s="9" t="str">
        <f t="shared" si="10"/>
        <v>230097</v>
      </c>
      <c r="D693" s="9" t="str">
        <f>"230914015"</f>
        <v>230914015</v>
      </c>
      <c r="E693" s="10">
        <v>66.3</v>
      </c>
      <c r="F693" s="10"/>
      <c r="G693" s="10">
        <v>51.19</v>
      </c>
      <c r="H693" s="10"/>
      <c r="I693" s="10">
        <v>57.23</v>
      </c>
    </row>
    <row r="694" spans="1:9" s="3" customFormat="1" ht="21.75" customHeight="1">
      <c r="A694" s="8" t="s">
        <v>37</v>
      </c>
      <c r="B694" s="8" t="s">
        <v>39</v>
      </c>
      <c r="C694" s="9" t="str">
        <f t="shared" si="10"/>
        <v>230097</v>
      </c>
      <c r="D694" s="9" t="str">
        <f>"230914025"</f>
        <v>230914025</v>
      </c>
      <c r="E694" s="10">
        <v>65.38</v>
      </c>
      <c r="F694" s="10"/>
      <c r="G694" s="10">
        <v>51.75</v>
      </c>
      <c r="H694" s="10"/>
      <c r="I694" s="10">
        <v>57.2</v>
      </c>
    </row>
    <row r="695" spans="1:9" s="2" customFormat="1" ht="21.75" customHeight="1">
      <c r="A695" s="8" t="s">
        <v>37</v>
      </c>
      <c r="B695" s="8" t="s">
        <v>39</v>
      </c>
      <c r="C695" s="9" t="str">
        <f t="shared" si="10"/>
        <v>230097</v>
      </c>
      <c r="D695" s="9" t="str">
        <f>"230914527"</f>
        <v>230914527</v>
      </c>
      <c r="E695" s="10">
        <v>62.72</v>
      </c>
      <c r="F695" s="10"/>
      <c r="G695" s="10">
        <v>53.43</v>
      </c>
      <c r="H695" s="10"/>
      <c r="I695" s="10">
        <v>57.15</v>
      </c>
    </row>
    <row r="696" spans="1:9" s="3" customFormat="1" ht="21.75" customHeight="1">
      <c r="A696" s="8" t="s">
        <v>37</v>
      </c>
      <c r="B696" s="8" t="s">
        <v>39</v>
      </c>
      <c r="C696" s="9" t="str">
        <f t="shared" si="10"/>
        <v>230097</v>
      </c>
      <c r="D696" s="9" t="str">
        <f>"230912918"</f>
        <v>230912918</v>
      </c>
      <c r="E696" s="10">
        <v>57.44</v>
      </c>
      <c r="F696" s="10"/>
      <c r="G696" s="10">
        <v>56.81</v>
      </c>
      <c r="H696" s="10"/>
      <c r="I696" s="10">
        <v>57.06</v>
      </c>
    </row>
    <row r="697" spans="1:9" s="2" customFormat="1" ht="21.75" customHeight="1">
      <c r="A697" s="8" t="s">
        <v>37</v>
      </c>
      <c r="B697" s="8" t="s">
        <v>39</v>
      </c>
      <c r="C697" s="9" t="str">
        <f t="shared" si="10"/>
        <v>230097</v>
      </c>
      <c r="D697" s="9" t="str">
        <f>"230913402"</f>
        <v>230913402</v>
      </c>
      <c r="E697" s="10">
        <v>61.6</v>
      </c>
      <c r="F697" s="10"/>
      <c r="G697" s="10">
        <v>54.02</v>
      </c>
      <c r="H697" s="10"/>
      <c r="I697" s="10">
        <v>57.05</v>
      </c>
    </row>
    <row r="698" spans="1:9" s="2" customFormat="1" ht="21.75" customHeight="1">
      <c r="A698" s="8" t="s">
        <v>37</v>
      </c>
      <c r="B698" s="8" t="s">
        <v>39</v>
      </c>
      <c r="C698" s="9" t="str">
        <f t="shared" si="10"/>
        <v>230097</v>
      </c>
      <c r="D698" s="9" t="str">
        <f>"230914520"</f>
        <v>230914520</v>
      </c>
      <c r="E698" s="10">
        <v>59.18</v>
      </c>
      <c r="F698" s="10"/>
      <c r="G698" s="10">
        <v>55.58</v>
      </c>
      <c r="H698" s="10"/>
      <c r="I698" s="10">
        <v>57.02</v>
      </c>
    </row>
    <row r="699" spans="1:9" s="2" customFormat="1" ht="21.75" customHeight="1">
      <c r="A699" s="8" t="s">
        <v>37</v>
      </c>
      <c r="B699" s="8" t="s">
        <v>39</v>
      </c>
      <c r="C699" s="9" t="str">
        <f t="shared" si="10"/>
        <v>230097</v>
      </c>
      <c r="D699" s="9" t="str">
        <f>"230913919"</f>
        <v>230913919</v>
      </c>
      <c r="E699" s="10">
        <v>61.7</v>
      </c>
      <c r="F699" s="10"/>
      <c r="G699" s="10">
        <v>53.86</v>
      </c>
      <c r="H699" s="10"/>
      <c r="I699" s="10">
        <v>57</v>
      </c>
    </row>
    <row r="700" spans="1:9" s="2" customFormat="1" ht="21.75" customHeight="1">
      <c r="A700" s="8" t="s">
        <v>37</v>
      </c>
      <c r="B700" s="8" t="s">
        <v>39</v>
      </c>
      <c r="C700" s="9" t="str">
        <f t="shared" si="10"/>
        <v>230097</v>
      </c>
      <c r="D700" s="9" t="str">
        <f>"230914230"</f>
        <v>230914230</v>
      </c>
      <c r="E700" s="10">
        <v>60.19</v>
      </c>
      <c r="F700" s="10"/>
      <c r="G700" s="10">
        <v>54.87</v>
      </c>
      <c r="H700" s="10"/>
      <c r="I700" s="10">
        <v>57</v>
      </c>
    </row>
    <row r="701" spans="1:9" s="2" customFormat="1" ht="21.75" customHeight="1">
      <c r="A701" s="8" t="s">
        <v>37</v>
      </c>
      <c r="B701" s="8" t="s">
        <v>39</v>
      </c>
      <c r="C701" s="9" t="str">
        <f t="shared" si="10"/>
        <v>230097</v>
      </c>
      <c r="D701" s="9" t="str">
        <f>"230913414"</f>
        <v>230913414</v>
      </c>
      <c r="E701" s="10">
        <v>66.290000000000006</v>
      </c>
      <c r="F701" s="10"/>
      <c r="G701" s="10">
        <v>50.78</v>
      </c>
      <c r="H701" s="10"/>
      <c r="I701" s="10">
        <v>56.98</v>
      </c>
    </row>
    <row r="702" spans="1:9" s="2" customFormat="1" ht="21.75" customHeight="1">
      <c r="A702" s="8" t="s">
        <v>37</v>
      </c>
      <c r="B702" s="8" t="s">
        <v>39</v>
      </c>
      <c r="C702" s="9" t="str">
        <f t="shared" si="10"/>
        <v>230097</v>
      </c>
      <c r="D702" s="9" t="str">
        <f>"230914225"</f>
        <v>230914225</v>
      </c>
      <c r="E702" s="10">
        <v>59.04</v>
      </c>
      <c r="F702" s="10"/>
      <c r="G702" s="10">
        <v>55.6</v>
      </c>
      <c r="H702" s="10"/>
      <c r="I702" s="10">
        <v>56.98</v>
      </c>
    </row>
    <row r="703" spans="1:9" s="2" customFormat="1" ht="21.75" customHeight="1">
      <c r="A703" s="8" t="s">
        <v>37</v>
      </c>
      <c r="B703" s="8" t="s">
        <v>39</v>
      </c>
      <c r="C703" s="9" t="str">
        <f t="shared" si="10"/>
        <v>230097</v>
      </c>
      <c r="D703" s="9" t="str">
        <f>"230914503"</f>
        <v>230914503</v>
      </c>
      <c r="E703" s="10">
        <v>58.35</v>
      </c>
      <c r="F703" s="10"/>
      <c r="G703" s="10">
        <v>55.99</v>
      </c>
      <c r="H703" s="10"/>
      <c r="I703" s="10">
        <v>56.93</v>
      </c>
    </row>
    <row r="704" spans="1:9" s="2" customFormat="1" ht="21.75" customHeight="1">
      <c r="A704" s="8" t="s">
        <v>37</v>
      </c>
      <c r="B704" s="8" t="s">
        <v>39</v>
      </c>
      <c r="C704" s="9" t="str">
        <f t="shared" si="10"/>
        <v>230097</v>
      </c>
      <c r="D704" s="9" t="str">
        <f>"230912912"</f>
        <v>230912912</v>
      </c>
      <c r="E704" s="10">
        <v>62.85</v>
      </c>
      <c r="F704" s="10"/>
      <c r="G704" s="10">
        <v>52.95</v>
      </c>
      <c r="H704" s="10"/>
      <c r="I704" s="10">
        <v>56.91</v>
      </c>
    </row>
    <row r="705" spans="1:9" s="2" customFormat="1" ht="21.75" customHeight="1">
      <c r="A705" s="8" t="s">
        <v>37</v>
      </c>
      <c r="B705" s="8" t="s">
        <v>39</v>
      </c>
      <c r="C705" s="9" t="str">
        <f t="shared" si="10"/>
        <v>230097</v>
      </c>
      <c r="D705" s="9" t="str">
        <f>"230914521"</f>
        <v>230914521</v>
      </c>
      <c r="E705" s="10">
        <v>67.900000000000006</v>
      </c>
      <c r="F705" s="10"/>
      <c r="G705" s="10">
        <v>49.51</v>
      </c>
      <c r="H705" s="10"/>
      <c r="I705" s="10">
        <v>56.87</v>
      </c>
    </row>
    <row r="706" spans="1:9" s="2" customFormat="1" ht="21.75" customHeight="1">
      <c r="A706" s="8" t="s">
        <v>37</v>
      </c>
      <c r="B706" s="8" t="s">
        <v>39</v>
      </c>
      <c r="C706" s="9" t="str">
        <f t="shared" si="10"/>
        <v>230097</v>
      </c>
      <c r="D706" s="9" t="str">
        <f>"230912709"</f>
        <v>230912709</v>
      </c>
      <c r="E706" s="10">
        <v>66.19</v>
      </c>
      <c r="F706" s="10"/>
      <c r="G706" s="10">
        <v>50.3</v>
      </c>
      <c r="H706" s="10"/>
      <c r="I706" s="10">
        <v>56.66</v>
      </c>
    </row>
    <row r="707" spans="1:9" s="3" customFormat="1" ht="21.75" customHeight="1">
      <c r="A707" s="8" t="s">
        <v>37</v>
      </c>
      <c r="B707" s="8" t="s">
        <v>39</v>
      </c>
      <c r="C707" s="9" t="str">
        <f t="shared" si="10"/>
        <v>230097</v>
      </c>
      <c r="D707" s="9" t="str">
        <f>"230913411"</f>
        <v>230913411</v>
      </c>
      <c r="E707" s="10">
        <v>66.180000000000007</v>
      </c>
      <c r="F707" s="10"/>
      <c r="G707" s="10">
        <v>50.28</v>
      </c>
      <c r="H707" s="10"/>
      <c r="I707" s="10">
        <v>56.64</v>
      </c>
    </row>
    <row r="708" spans="1:9" s="2" customFormat="1" ht="21.75" customHeight="1">
      <c r="A708" s="8" t="s">
        <v>37</v>
      </c>
      <c r="B708" s="8" t="s">
        <v>39</v>
      </c>
      <c r="C708" s="9" t="str">
        <f t="shared" si="10"/>
        <v>230097</v>
      </c>
      <c r="D708" s="9" t="str">
        <f>"230913121"</f>
        <v>230913121</v>
      </c>
      <c r="E708" s="10">
        <v>67.209999999999994</v>
      </c>
      <c r="F708" s="10"/>
      <c r="G708" s="10">
        <v>49.49</v>
      </c>
      <c r="H708" s="10"/>
      <c r="I708" s="10">
        <v>56.58</v>
      </c>
    </row>
    <row r="709" spans="1:9" s="2" customFormat="1" ht="21.75" customHeight="1">
      <c r="A709" s="8" t="s">
        <v>37</v>
      </c>
      <c r="B709" s="8" t="s">
        <v>39</v>
      </c>
      <c r="C709" s="9" t="str">
        <f t="shared" si="10"/>
        <v>230097</v>
      </c>
      <c r="D709" s="9" t="str">
        <f>"230914113"</f>
        <v>230914113</v>
      </c>
      <c r="E709" s="10">
        <v>66.510000000000005</v>
      </c>
      <c r="F709" s="10"/>
      <c r="G709" s="10">
        <v>49.8</v>
      </c>
      <c r="H709" s="10"/>
      <c r="I709" s="10">
        <v>56.48</v>
      </c>
    </row>
    <row r="710" spans="1:9" s="2" customFormat="1" ht="21.75" customHeight="1">
      <c r="A710" s="8" t="s">
        <v>37</v>
      </c>
      <c r="B710" s="8" t="s">
        <v>39</v>
      </c>
      <c r="C710" s="9" t="str">
        <f t="shared" ref="C710:C773" si="11">"230097"</f>
        <v>230097</v>
      </c>
      <c r="D710" s="9" t="str">
        <f>"230912808"</f>
        <v>230912808</v>
      </c>
      <c r="E710" s="10">
        <v>58.47</v>
      </c>
      <c r="F710" s="10"/>
      <c r="G710" s="10">
        <v>55.11</v>
      </c>
      <c r="H710" s="10"/>
      <c r="I710" s="10">
        <v>56.45</v>
      </c>
    </row>
    <row r="711" spans="1:9" s="2" customFormat="1" ht="21.75" customHeight="1">
      <c r="A711" s="8" t="s">
        <v>37</v>
      </c>
      <c r="B711" s="8" t="s">
        <v>39</v>
      </c>
      <c r="C711" s="9" t="str">
        <f t="shared" si="11"/>
        <v>230097</v>
      </c>
      <c r="D711" s="9" t="str">
        <f>"230912816"</f>
        <v>230912816</v>
      </c>
      <c r="E711" s="10">
        <v>59.77</v>
      </c>
      <c r="F711" s="10"/>
      <c r="G711" s="10">
        <v>54.23</v>
      </c>
      <c r="H711" s="10"/>
      <c r="I711" s="10">
        <v>56.45</v>
      </c>
    </row>
    <row r="712" spans="1:9" s="2" customFormat="1" ht="21.75" customHeight="1">
      <c r="A712" s="8" t="s">
        <v>37</v>
      </c>
      <c r="B712" s="8" t="s">
        <v>39</v>
      </c>
      <c r="C712" s="9" t="str">
        <f t="shared" si="11"/>
        <v>230097</v>
      </c>
      <c r="D712" s="9" t="str">
        <f>"230913824"</f>
        <v>230913824</v>
      </c>
      <c r="E712" s="10">
        <v>70.89</v>
      </c>
      <c r="F712" s="10"/>
      <c r="G712" s="10">
        <v>46.8</v>
      </c>
      <c r="H712" s="10"/>
      <c r="I712" s="10">
        <v>56.44</v>
      </c>
    </row>
    <row r="713" spans="1:9" s="2" customFormat="1" ht="21.75" customHeight="1">
      <c r="A713" s="8" t="s">
        <v>37</v>
      </c>
      <c r="B713" s="8" t="s">
        <v>39</v>
      </c>
      <c r="C713" s="9" t="str">
        <f t="shared" si="11"/>
        <v>230097</v>
      </c>
      <c r="D713" s="9" t="str">
        <f>"230913611"</f>
        <v>230913611</v>
      </c>
      <c r="E713" s="10">
        <v>62.73</v>
      </c>
      <c r="F713" s="10"/>
      <c r="G713" s="10">
        <v>52.09</v>
      </c>
      <c r="H713" s="10"/>
      <c r="I713" s="10">
        <v>56.35</v>
      </c>
    </row>
    <row r="714" spans="1:9" s="2" customFormat="1" ht="21.75" customHeight="1">
      <c r="A714" s="8" t="s">
        <v>37</v>
      </c>
      <c r="B714" s="8" t="s">
        <v>39</v>
      </c>
      <c r="C714" s="9" t="str">
        <f t="shared" si="11"/>
        <v>230097</v>
      </c>
      <c r="D714" s="9" t="str">
        <f>"230913504"</f>
        <v>230913504</v>
      </c>
      <c r="E714" s="10">
        <v>60.55</v>
      </c>
      <c r="F714" s="10"/>
      <c r="G714" s="10">
        <v>53.48</v>
      </c>
      <c r="H714" s="10"/>
      <c r="I714" s="10">
        <v>56.31</v>
      </c>
    </row>
    <row r="715" spans="1:9" s="3" customFormat="1" ht="21.75" customHeight="1">
      <c r="A715" s="8" t="s">
        <v>37</v>
      </c>
      <c r="B715" s="8" t="s">
        <v>39</v>
      </c>
      <c r="C715" s="9" t="str">
        <f t="shared" si="11"/>
        <v>230097</v>
      </c>
      <c r="D715" s="9" t="str">
        <f>"230912818"</f>
        <v>230912818</v>
      </c>
      <c r="E715" s="10">
        <v>64</v>
      </c>
      <c r="F715" s="10"/>
      <c r="G715" s="10">
        <v>51.11</v>
      </c>
      <c r="H715" s="10"/>
      <c r="I715" s="10">
        <v>56.27</v>
      </c>
    </row>
    <row r="716" spans="1:9" s="2" customFormat="1" ht="21.75" customHeight="1">
      <c r="A716" s="8" t="s">
        <v>37</v>
      </c>
      <c r="B716" s="8" t="s">
        <v>39</v>
      </c>
      <c r="C716" s="9" t="str">
        <f t="shared" si="11"/>
        <v>230097</v>
      </c>
      <c r="D716" s="9" t="str">
        <f>"230913202"</f>
        <v>230913202</v>
      </c>
      <c r="E716" s="10">
        <v>53.99</v>
      </c>
      <c r="F716" s="10"/>
      <c r="G716" s="10">
        <v>57.7</v>
      </c>
      <c r="H716" s="10"/>
      <c r="I716" s="10">
        <v>56.22</v>
      </c>
    </row>
    <row r="717" spans="1:9" s="2" customFormat="1" ht="21.75" customHeight="1">
      <c r="A717" s="8" t="s">
        <v>37</v>
      </c>
      <c r="B717" s="8" t="s">
        <v>39</v>
      </c>
      <c r="C717" s="9" t="str">
        <f t="shared" si="11"/>
        <v>230097</v>
      </c>
      <c r="D717" s="9" t="str">
        <f>"230912810"</f>
        <v>230912810</v>
      </c>
      <c r="E717" s="10">
        <v>64.58</v>
      </c>
      <c r="F717" s="10"/>
      <c r="G717" s="10">
        <v>50.54</v>
      </c>
      <c r="H717" s="10"/>
      <c r="I717" s="10">
        <v>56.16</v>
      </c>
    </row>
    <row r="718" spans="1:9" s="2" customFormat="1" ht="21.75" customHeight="1">
      <c r="A718" s="8" t="s">
        <v>37</v>
      </c>
      <c r="B718" s="8" t="s">
        <v>39</v>
      </c>
      <c r="C718" s="9" t="str">
        <f t="shared" si="11"/>
        <v>230097</v>
      </c>
      <c r="D718" s="9" t="str">
        <f>"230913602"</f>
        <v>230913602</v>
      </c>
      <c r="E718" s="10">
        <v>58.95</v>
      </c>
      <c r="F718" s="10"/>
      <c r="G718" s="10">
        <v>54.28</v>
      </c>
      <c r="H718" s="10"/>
      <c r="I718" s="10">
        <v>56.15</v>
      </c>
    </row>
    <row r="719" spans="1:9" s="2" customFormat="1" ht="21.75" customHeight="1">
      <c r="A719" s="8" t="s">
        <v>37</v>
      </c>
      <c r="B719" s="8" t="s">
        <v>39</v>
      </c>
      <c r="C719" s="9" t="str">
        <f t="shared" si="11"/>
        <v>230097</v>
      </c>
      <c r="D719" s="9" t="str">
        <f>"230913530"</f>
        <v>230913530</v>
      </c>
      <c r="E719" s="10">
        <v>61.47</v>
      </c>
      <c r="F719" s="10"/>
      <c r="G719" s="10">
        <v>52.43</v>
      </c>
      <c r="H719" s="10"/>
      <c r="I719" s="10">
        <v>56.05</v>
      </c>
    </row>
    <row r="720" spans="1:9" s="2" customFormat="1" ht="21.75" customHeight="1">
      <c r="A720" s="8" t="s">
        <v>37</v>
      </c>
      <c r="B720" s="8" t="s">
        <v>39</v>
      </c>
      <c r="C720" s="9" t="str">
        <f t="shared" si="11"/>
        <v>230097</v>
      </c>
      <c r="D720" s="9" t="str">
        <f>"230914611"</f>
        <v>230914611</v>
      </c>
      <c r="E720" s="10">
        <v>52.84</v>
      </c>
      <c r="F720" s="10"/>
      <c r="G720" s="10">
        <v>58.1</v>
      </c>
      <c r="H720" s="10"/>
      <c r="I720" s="10">
        <v>56</v>
      </c>
    </row>
    <row r="721" spans="1:9" s="2" customFormat="1" ht="21.75" customHeight="1">
      <c r="A721" s="8" t="s">
        <v>37</v>
      </c>
      <c r="B721" s="8" t="s">
        <v>39</v>
      </c>
      <c r="C721" s="9" t="str">
        <f t="shared" si="11"/>
        <v>230097</v>
      </c>
      <c r="D721" s="9" t="str">
        <f>"230913716"</f>
        <v>230913716</v>
      </c>
      <c r="E721" s="10">
        <v>63.53</v>
      </c>
      <c r="F721" s="10"/>
      <c r="G721" s="10">
        <v>50.74</v>
      </c>
      <c r="H721" s="10"/>
      <c r="I721" s="10">
        <v>55.86</v>
      </c>
    </row>
    <row r="722" spans="1:9" s="2" customFormat="1" ht="21.75" customHeight="1">
      <c r="A722" s="8" t="s">
        <v>37</v>
      </c>
      <c r="B722" s="8" t="s">
        <v>39</v>
      </c>
      <c r="C722" s="9" t="str">
        <f t="shared" si="11"/>
        <v>230097</v>
      </c>
      <c r="D722" s="9" t="str">
        <f>"230912719"</f>
        <v>230912719</v>
      </c>
      <c r="E722" s="10">
        <v>64.459999999999994</v>
      </c>
      <c r="F722" s="10"/>
      <c r="G722" s="10">
        <v>49.95</v>
      </c>
      <c r="H722" s="10"/>
      <c r="I722" s="10">
        <v>55.75</v>
      </c>
    </row>
    <row r="723" spans="1:9" s="2" customFormat="1" ht="21.75" customHeight="1">
      <c r="A723" s="8" t="s">
        <v>37</v>
      </c>
      <c r="B723" s="8" t="s">
        <v>39</v>
      </c>
      <c r="C723" s="9" t="str">
        <f t="shared" si="11"/>
        <v>230097</v>
      </c>
      <c r="D723" s="9" t="str">
        <f>"230913515"</f>
        <v>230913515</v>
      </c>
      <c r="E723" s="10">
        <v>56.87</v>
      </c>
      <c r="F723" s="10"/>
      <c r="G723" s="10">
        <v>54.91</v>
      </c>
      <c r="H723" s="10"/>
      <c r="I723" s="10">
        <v>55.69</v>
      </c>
    </row>
    <row r="724" spans="1:9" s="2" customFormat="1" ht="21.75" customHeight="1">
      <c r="A724" s="8" t="s">
        <v>37</v>
      </c>
      <c r="B724" s="8" t="s">
        <v>39</v>
      </c>
      <c r="C724" s="9" t="str">
        <f t="shared" si="11"/>
        <v>230097</v>
      </c>
      <c r="D724" s="9" t="str">
        <f>"230914422"</f>
        <v>230914422</v>
      </c>
      <c r="E724" s="10">
        <v>56.68</v>
      </c>
      <c r="F724" s="10"/>
      <c r="G724" s="10">
        <v>55.01</v>
      </c>
      <c r="H724" s="10"/>
      <c r="I724" s="10">
        <v>55.68</v>
      </c>
    </row>
    <row r="725" spans="1:9" s="2" customFormat="1" ht="21.75" customHeight="1">
      <c r="A725" s="8" t="s">
        <v>37</v>
      </c>
      <c r="B725" s="8" t="s">
        <v>39</v>
      </c>
      <c r="C725" s="9" t="str">
        <f t="shared" si="11"/>
        <v>230097</v>
      </c>
      <c r="D725" s="9" t="str">
        <f>"230913217"</f>
        <v>230913217</v>
      </c>
      <c r="E725" s="10">
        <v>62.84</v>
      </c>
      <c r="F725" s="10"/>
      <c r="G725" s="10">
        <v>50.88</v>
      </c>
      <c r="H725" s="10"/>
      <c r="I725" s="10">
        <v>55.66</v>
      </c>
    </row>
    <row r="726" spans="1:9" s="2" customFormat="1" ht="21.75" customHeight="1">
      <c r="A726" s="8" t="s">
        <v>37</v>
      </c>
      <c r="B726" s="8" t="s">
        <v>39</v>
      </c>
      <c r="C726" s="9" t="str">
        <f t="shared" si="11"/>
        <v>230097</v>
      </c>
      <c r="D726" s="9" t="str">
        <f>"230913207"</f>
        <v>230913207</v>
      </c>
      <c r="E726" s="10">
        <v>60.9</v>
      </c>
      <c r="F726" s="10"/>
      <c r="G726" s="10">
        <v>52.09</v>
      </c>
      <c r="H726" s="10"/>
      <c r="I726" s="10">
        <v>55.61</v>
      </c>
    </row>
    <row r="727" spans="1:9" s="3" customFormat="1" ht="21.75" customHeight="1">
      <c r="A727" s="8" t="s">
        <v>37</v>
      </c>
      <c r="B727" s="8" t="s">
        <v>39</v>
      </c>
      <c r="C727" s="9" t="str">
        <f t="shared" si="11"/>
        <v>230097</v>
      </c>
      <c r="D727" s="9" t="str">
        <f>"230914320"</f>
        <v>230914320</v>
      </c>
      <c r="E727" s="10">
        <v>63.77</v>
      </c>
      <c r="F727" s="10"/>
      <c r="G727" s="10">
        <v>50.13</v>
      </c>
      <c r="H727" s="10"/>
      <c r="I727" s="10">
        <v>55.59</v>
      </c>
    </row>
    <row r="728" spans="1:9" s="2" customFormat="1" ht="21.75" customHeight="1">
      <c r="A728" s="8" t="s">
        <v>37</v>
      </c>
      <c r="B728" s="8" t="s">
        <v>39</v>
      </c>
      <c r="C728" s="9" t="str">
        <f t="shared" si="11"/>
        <v>230097</v>
      </c>
      <c r="D728" s="9" t="str">
        <f>"230912812"</f>
        <v>230912812</v>
      </c>
      <c r="E728" s="10">
        <v>63.31</v>
      </c>
      <c r="F728" s="10"/>
      <c r="G728" s="10">
        <v>50.42</v>
      </c>
      <c r="H728" s="10"/>
      <c r="I728" s="10">
        <v>55.58</v>
      </c>
    </row>
    <row r="729" spans="1:9" s="2" customFormat="1" ht="21.75" customHeight="1">
      <c r="A729" s="8" t="s">
        <v>37</v>
      </c>
      <c r="B729" s="8" t="s">
        <v>39</v>
      </c>
      <c r="C729" s="9" t="str">
        <f t="shared" si="11"/>
        <v>230097</v>
      </c>
      <c r="D729" s="9" t="str">
        <f>"230914328"</f>
        <v>230914328</v>
      </c>
      <c r="E729" s="10">
        <v>55.84</v>
      </c>
      <c r="F729" s="10"/>
      <c r="G729" s="10">
        <v>55.36</v>
      </c>
      <c r="H729" s="10"/>
      <c r="I729" s="10">
        <v>55.55</v>
      </c>
    </row>
    <row r="730" spans="1:9" s="2" customFormat="1" ht="21.75" customHeight="1">
      <c r="A730" s="8" t="s">
        <v>37</v>
      </c>
      <c r="B730" s="8" t="s">
        <v>39</v>
      </c>
      <c r="C730" s="9" t="str">
        <f t="shared" si="11"/>
        <v>230097</v>
      </c>
      <c r="D730" s="9" t="str">
        <f>"230914027"</f>
        <v>230914027</v>
      </c>
      <c r="E730" s="10">
        <v>70.3</v>
      </c>
      <c r="F730" s="10"/>
      <c r="G730" s="10">
        <v>45.3</v>
      </c>
      <c r="H730" s="10"/>
      <c r="I730" s="10">
        <v>55.3</v>
      </c>
    </row>
    <row r="731" spans="1:9" s="2" customFormat="1" ht="21.75" customHeight="1">
      <c r="A731" s="8" t="s">
        <v>37</v>
      </c>
      <c r="B731" s="8" t="s">
        <v>39</v>
      </c>
      <c r="C731" s="9" t="str">
        <f t="shared" si="11"/>
        <v>230097</v>
      </c>
      <c r="D731" s="9" t="str">
        <f>"230913107"</f>
        <v>230913107</v>
      </c>
      <c r="E731" s="10">
        <v>53.39</v>
      </c>
      <c r="F731" s="10"/>
      <c r="G731" s="10">
        <v>56.55</v>
      </c>
      <c r="H731" s="10"/>
      <c r="I731" s="10">
        <v>55.29</v>
      </c>
    </row>
    <row r="732" spans="1:9" s="2" customFormat="1" ht="21.75" customHeight="1">
      <c r="A732" s="8" t="s">
        <v>37</v>
      </c>
      <c r="B732" s="8" t="s">
        <v>39</v>
      </c>
      <c r="C732" s="9" t="str">
        <f t="shared" si="11"/>
        <v>230097</v>
      </c>
      <c r="D732" s="9" t="str">
        <f>"230914129"</f>
        <v>230914129</v>
      </c>
      <c r="E732" s="10">
        <v>74.349999999999994</v>
      </c>
      <c r="F732" s="10"/>
      <c r="G732" s="10">
        <v>42.54</v>
      </c>
      <c r="H732" s="10"/>
      <c r="I732" s="10">
        <v>55.26</v>
      </c>
    </row>
    <row r="733" spans="1:9" s="2" customFormat="1" ht="21.75" customHeight="1">
      <c r="A733" s="8" t="s">
        <v>37</v>
      </c>
      <c r="B733" s="8" t="s">
        <v>39</v>
      </c>
      <c r="C733" s="9" t="str">
        <f t="shared" si="11"/>
        <v>230097</v>
      </c>
      <c r="D733" s="9" t="str">
        <f>"230914409"</f>
        <v>230914409</v>
      </c>
      <c r="E733" s="10">
        <v>71.94</v>
      </c>
      <c r="F733" s="10"/>
      <c r="G733" s="10">
        <v>44.09</v>
      </c>
      <c r="H733" s="10"/>
      <c r="I733" s="10">
        <v>55.23</v>
      </c>
    </row>
    <row r="734" spans="1:9" s="2" customFormat="1" ht="21.75" customHeight="1">
      <c r="A734" s="8" t="s">
        <v>37</v>
      </c>
      <c r="B734" s="8" t="s">
        <v>39</v>
      </c>
      <c r="C734" s="9" t="str">
        <f t="shared" si="11"/>
        <v>230097</v>
      </c>
      <c r="D734" s="9" t="str">
        <f>"230914223"</f>
        <v>230914223</v>
      </c>
      <c r="E734" s="10">
        <v>63.53</v>
      </c>
      <c r="F734" s="10"/>
      <c r="G734" s="10">
        <v>49.66</v>
      </c>
      <c r="H734" s="10"/>
      <c r="I734" s="10">
        <v>55.21</v>
      </c>
    </row>
    <row r="735" spans="1:9" s="2" customFormat="1" ht="21.75" customHeight="1">
      <c r="A735" s="8" t="s">
        <v>37</v>
      </c>
      <c r="B735" s="8" t="s">
        <v>39</v>
      </c>
      <c r="C735" s="9" t="str">
        <f t="shared" si="11"/>
        <v>230097</v>
      </c>
      <c r="D735" s="9" t="str">
        <f>"230913726"</f>
        <v>230913726</v>
      </c>
      <c r="E735" s="10">
        <v>65.37</v>
      </c>
      <c r="F735" s="10"/>
      <c r="G735" s="10">
        <v>48.42</v>
      </c>
      <c r="H735" s="10"/>
      <c r="I735" s="10">
        <v>55.2</v>
      </c>
    </row>
    <row r="736" spans="1:9" s="2" customFormat="1" ht="21.75" customHeight="1">
      <c r="A736" s="8" t="s">
        <v>37</v>
      </c>
      <c r="B736" s="8" t="s">
        <v>39</v>
      </c>
      <c r="C736" s="9" t="str">
        <f t="shared" si="11"/>
        <v>230097</v>
      </c>
      <c r="D736" s="9" t="str">
        <f>"230914224"</f>
        <v>230914224</v>
      </c>
      <c r="E736" s="10">
        <v>49.75</v>
      </c>
      <c r="F736" s="10"/>
      <c r="G736" s="10">
        <v>58.81</v>
      </c>
      <c r="H736" s="10"/>
      <c r="I736" s="10">
        <v>55.19</v>
      </c>
    </row>
    <row r="737" spans="1:9" s="2" customFormat="1" ht="21.75" customHeight="1">
      <c r="A737" s="8" t="s">
        <v>37</v>
      </c>
      <c r="B737" s="8" t="s">
        <v>39</v>
      </c>
      <c r="C737" s="9" t="str">
        <f t="shared" si="11"/>
        <v>230097</v>
      </c>
      <c r="D737" s="9" t="str">
        <f>"230914203"</f>
        <v>230914203</v>
      </c>
      <c r="E737" s="10">
        <v>66.75</v>
      </c>
      <c r="F737" s="10"/>
      <c r="G737" s="10">
        <v>47.45</v>
      </c>
      <c r="H737" s="10"/>
      <c r="I737" s="10">
        <v>55.17</v>
      </c>
    </row>
    <row r="738" spans="1:9" s="2" customFormat="1" ht="21.75" customHeight="1">
      <c r="A738" s="8" t="s">
        <v>37</v>
      </c>
      <c r="B738" s="8" t="s">
        <v>39</v>
      </c>
      <c r="C738" s="9" t="str">
        <f t="shared" si="11"/>
        <v>230097</v>
      </c>
      <c r="D738" s="9" t="str">
        <f>"230912710"</f>
        <v>230912710</v>
      </c>
      <c r="E738" s="10">
        <v>55.83</v>
      </c>
      <c r="F738" s="10"/>
      <c r="G738" s="10">
        <v>54.57</v>
      </c>
      <c r="H738" s="10"/>
      <c r="I738" s="10">
        <v>55.07</v>
      </c>
    </row>
    <row r="739" spans="1:9" s="3" customFormat="1" ht="21.75" customHeight="1">
      <c r="A739" s="8" t="s">
        <v>37</v>
      </c>
      <c r="B739" s="8" t="s">
        <v>39</v>
      </c>
      <c r="C739" s="9" t="str">
        <f t="shared" si="11"/>
        <v>230097</v>
      </c>
      <c r="D739" s="9" t="str">
        <f>"230914323"</f>
        <v>230914323</v>
      </c>
      <c r="E739" s="10">
        <v>63.31</v>
      </c>
      <c r="F739" s="10"/>
      <c r="G739" s="10">
        <v>49.58</v>
      </c>
      <c r="H739" s="10"/>
      <c r="I739" s="10">
        <v>55.07</v>
      </c>
    </row>
    <row r="740" spans="1:9" s="2" customFormat="1" ht="21.75" customHeight="1">
      <c r="A740" s="8" t="s">
        <v>37</v>
      </c>
      <c r="B740" s="8" t="s">
        <v>39</v>
      </c>
      <c r="C740" s="9" t="str">
        <f t="shared" si="11"/>
        <v>230097</v>
      </c>
      <c r="D740" s="9" t="str">
        <f>"230913529"</f>
        <v>230913529</v>
      </c>
      <c r="E740" s="10">
        <v>66.86</v>
      </c>
      <c r="F740" s="10"/>
      <c r="G740" s="10">
        <v>47.11</v>
      </c>
      <c r="H740" s="10"/>
      <c r="I740" s="10">
        <v>55.01</v>
      </c>
    </row>
    <row r="741" spans="1:9" s="2" customFormat="1" ht="21.75" customHeight="1">
      <c r="A741" s="8" t="s">
        <v>37</v>
      </c>
      <c r="B741" s="8" t="s">
        <v>39</v>
      </c>
      <c r="C741" s="9" t="str">
        <f t="shared" si="11"/>
        <v>230097</v>
      </c>
      <c r="D741" s="9" t="str">
        <f>"230913516"</f>
        <v>230913516</v>
      </c>
      <c r="E741" s="10">
        <v>56.28</v>
      </c>
      <c r="F741" s="10"/>
      <c r="G741" s="10">
        <v>54.05</v>
      </c>
      <c r="H741" s="10"/>
      <c r="I741" s="10">
        <v>54.94</v>
      </c>
    </row>
    <row r="742" spans="1:9" s="2" customFormat="1" ht="21.75" customHeight="1">
      <c r="A742" s="8" t="s">
        <v>37</v>
      </c>
      <c r="B742" s="8" t="s">
        <v>39</v>
      </c>
      <c r="C742" s="9" t="str">
        <f t="shared" si="11"/>
        <v>230097</v>
      </c>
      <c r="D742" s="9" t="str">
        <f>"230914423"</f>
        <v>230914423</v>
      </c>
      <c r="E742" s="10">
        <v>64.56</v>
      </c>
      <c r="F742" s="10"/>
      <c r="G742" s="10">
        <v>48.4</v>
      </c>
      <c r="H742" s="10"/>
      <c r="I742" s="10">
        <v>54.86</v>
      </c>
    </row>
    <row r="743" spans="1:9" s="2" customFormat="1" ht="21.75" customHeight="1">
      <c r="A743" s="8" t="s">
        <v>37</v>
      </c>
      <c r="B743" s="8" t="s">
        <v>39</v>
      </c>
      <c r="C743" s="9" t="str">
        <f t="shared" si="11"/>
        <v>230097</v>
      </c>
      <c r="D743" s="9" t="str">
        <f>"230912601"</f>
        <v>230912601</v>
      </c>
      <c r="E743" s="10">
        <v>57.89</v>
      </c>
      <c r="F743" s="10"/>
      <c r="G743" s="10">
        <v>52.55</v>
      </c>
      <c r="H743" s="10"/>
      <c r="I743" s="10">
        <v>54.69</v>
      </c>
    </row>
    <row r="744" spans="1:9" s="2" customFormat="1" ht="21.75" customHeight="1">
      <c r="A744" s="8" t="s">
        <v>37</v>
      </c>
      <c r="B744" s="8" t="s">
        <v>39</v>
      </c>
      <c r="C744" s="9" t="str">
        <f t="shared" si="11"/>
        <v>230097</v>
      </c>
      <c r="D744" s="9" t="str">
        <f>"230912814"</f>
        <v>230912814</v>
      </c>
      <c r="E744" s="10">
        <v>73.540000000000006</v>
      </c>
      <c r="F744" s="10"/>
      <c r="G744" s="10">
        <v>42.03</v>
      </c>
      <c r="H744" s="10"/>
      <c r="I744" s="10">
        <v>54.63</v>
      </c>
    </row>
    <row r="745" spans="1:9" s="3" customFormat="1" ht="21.75" customHeight="1">
      <c r="A745" s="8" t="s">
        <v>37</v>
      </c>
      <c r="B745" s="8" t="s">
        <v>39</v>
      </c>
      <c r="C745" s="9" t="str">
        <f t="shared" si="11"/>
        <v>230097</v>
      </c>
      <c r="D745" s="9" t="str">
        <f>"230913724"</f>
        <v>230913724</v>
      </c>
      <c r="E745" s="10">
        <v>58.84</v>
      </c>
      <c r="F745" s="10"/>
      <c r="G745" s="10">
        <v>51.76</v>
      </c>
      <c r="H745" s="10"/>
      <c r="I745" s="10">
        <v>54.59</v>
      </c>
    </row>
    <row r="746" spans="1:9" s="2" customFormat="1" ht="21.75" customHeight="1">
      <c r="A746" s="8" t="s">
        <v>37</v>
      </c>
      <c r="B746" s="8" t="s">
        <v>39</v>
      </c>
      <c r="C746" s="9" t="str">
        <f t="shared" si="11"/>
        <v>230097</v>
      </c>
      <c r="D746" s="9" t="str">
        <f>"230914511"</f>
        <v>230914511</v>
      </c>
      <c r="E746" s="10">
        <v>65.37</v>
      </c>
      <c r="F746" s="10"/>
      <c r="G746" s="10">
        <v>47.39</v>
      </c>
      <c r="H746" s="10"/>
      <c r="I746" s="10">
        <v>54.58</v>
      </c>
    </row>
    <row r="747" spans="1:9" s="2" customFormat="1" ht="21.75" customHeight="1">
      <c r="A747" s="8" t="s">
        <v>37</v>
      </c>
      <c r="B747" s="8" t="s">
        <v>39</v>
      </c>
      <c r="C747" s="9" t="str">
        <f t="shared" si="11"/>
        <v>230097</v>
      </c>
      <c r="D747" s="9" t="str">
        <f>"230912603"</f>
        <v>230912603</v>
      </c>
      <c r="E747" s="10">
        <v>52.15</v>
      </c>
      <c r="F747" s="10"/>
      <c r="G747" s="10">
        <v>56.17</v>
      </c>
      <c r="H747" s="10"/>
      <c r="I747" s="10">
        <v>54.56</v>
      </c>
    </row>
    <row r="748" spans="1:9" s="3" customFormat="1" ht="21.75" customHeight="1">
      <c r="A748" s="8" t="s">
        <v>37</v>
      </c>
      <c r="B748" s="8" t="s">
        <v>39</v>
      </c>
      <c r="C748" s="9" t="str">
        <f t="shared" si="11"/>
        <v>230097</v>
      </c>
      <c r="D748" s="9" t="str">
        <f>"230913517"</f>
        <v>230913517</v>
      </c>
      <c r="E748" s="10">
        <v>61.81</v>
      </c>
      <c r="F748" s="10"/>
      <c r="G748" s="10">
        <v>49.56</v>
      </c>
      <c r="H748" s="10"/>
      <c r="I748" s="10">
        <v>54.46</v>
      </c>
    </row>
    <row r="749" spans="1:9" s="2" customFormat="1" ht="21.75" customHeight="1">
      <c r="A749" s="8" t="s">
        <v>37</v>
      </c>
      <c r="B749" s="8" t="s">
        <v>39</v>
      </c>
      <c r="C749" s="9" t="str">
        <f t="shared" si="11"/>
        <v>230097</v>
      </c>
      <c r="D749" s="9" t="str">
        <f>"230913928"</f>
        <v>230913928</v>
      </c>
      <c r="E749" s="10">
        <v>57.69</v>
      </c>
      <c r="F749" s="10"/>
      <c r="G749" s="10">
        <v>52.29</v>
      </c>
      <c r="H749" s="10"/>
      <c r="I749" s="10">
        <v>54.45</v>
      </c>
    </row>
    <row r="750" spans="1:9" s="2" customFormat="1" ht="21.75" customHeight="1">
      <c r="A750" s="8" t="s">
        <v>37</v>
      </c>
      <c r="B750" s="8" t="s">
        <v>39</v>
      </c>
      <c r="C750" s="9" t="str">
        <f t="shared" si="11"/>
        <v>230097</v>
      </c>
      <c r="D750" s="9" t="str">
        <f>"230914522"</f>
        <v>230914522</v>
      </c>
      <c r="E750" s="10">
        <v>64.459999999999994</v>
      </c>
      <c r="F750" s="10"/>
      <c r="G750" s="10">
        <v>47.73</v>
      </c>
      <c r="H750" s="10"/>
      <c r="I750" s="10">
        <v>54.42</v>
      </c>
    </row>
    <row r="751" spans="1:9" s="2" customFormat="1" ht="21.75" customHeight="1">
      <c r="A751" s="8" t="s">
        <v>37</v>
      </c>
      <c r="B751" s="8" t="s">
        <v>39</v>
      </c>
      <c r="C751" s="9" t="str">
        <f t="shared" si="11"/>
        <v>230097</v>
      </c>
      <c r="D751" s="9" t="str">
        <f>"230913029"</f>
        <v>230913029</v>
      </c>
      <c r="E751" s="10">
        <v>62.96</v>
      </c>
      <c r="F751" s="10"/>
      <c r="G751" s="10">
        <v>48.6</v>
      </c>
      <c r="H751" s="10"/>
      <c r="I751" s="10">
        <v>54.34</v>
      </c>
    </row>
    <row r="752" spans="1:9" s="2" customFormat="1" ht="21.75" customHeight="1">
      <c r="A752" s="8" t="s">
        <v>37</v>
      </c>
      <c r="B752" s="8" t="s">
        <v>39</v>
      </c>
      <c r="C752" s="9" t="str">
        <f t="shared" si="11"/>
        <v>230097</v>
      </c>
      <c r="D752" s="9" t="str">
        <f>"230912707"</f>
        <v>230912707</v>
      </c>
      <c r="E752" s="10">
        <v>70.430000000000007</v>
      </c>
      <c r="F752" s="10"/>
      <c r="G752" s="10">
        <v>43.55</v>
      </c>
      <c r="H752" s="10"/>
      <c r="I752" s="10">
        <v>54.3</v>
      </c>
    </row>
    <row r="753" spans="1:9" s="2" customFormat="1" ht="21.75" customHeight="1">
      <c r="A753" s="8" t="s">
        <v>37</v>
      </c>
      <c r="B753" s="8" t="s">
        <v>39</v>
      </c>
      <c r="C753" s="9" t="str">
        <f t="shared" si="11"/>
        <v>230097</v>
      </c>
      <c r="D753" s="9" t="str">
        <f>"230913412"</f>
        <v>230913412</v>
      </c>
      <c r="E753" s="10">
        <v>58.39</v>
      </c>
      <c r="F753" s="10"/>
      <c r="G753" s="10">
        <v>51.57</v>
      </c>
      <c r="H753" s="10"/>
      <c r="I753" s="10">
        <v>54.3</v>
      </c>
    </row>
    <row r="754" spans="1:9" s="2" customFormat="1" ht="21.75" customHeight="1">
      <c r="A754" s="8" t="s">
        <v>37</v>
      </c>
      <c r="B754" s="8" t="s">
        <v>39</v>
      </c>
      <c r="C754" s="9" t="str">
        <f t="shared" si="11"/>
        <v>230097</v>
      </c>
      <c r="D754" s="9" t="str">
        <f>"230914007"</f>
        <v>230914007</v>
      </c>
      <c r="E754" s="10">
        <v>63.53</v>
      </c>
      <c r="F754" s="10"/>
      <c r="G754" s="10">
        <v>47.84</v>
      </c>
      <c r="H754" s="10"/>
      <c r="I754" s="10">
        <v>54.12</v>
      </c>
    </row>
    <row r="755" spans="1:9" s="3" customFormat="1" ht="21.75" customHeight="1">
      <c r="A755" s="8" t="s">
        <v>37</v>
      </c>
      <c r="B755" s="8" t="s">
        <v>39</v>
      </c>
      <c r="C755" s="9" t="str">
        <f t="shared" si="11"/>
        <v>230097</v>
      </c>
      <c r="D755" s="9" t="str">
        <f>"230913522"</f>
        <v>230913522</v>
      </c>
      <c r="E755" s="10">
        <v>66.650000000000006</v>
      </c>
      <c r="F755" s="10"/>
      <c r="G755" s="10">
        <v>45.6</v>
      </c>
      <c r="H755" s="10"/>
      <c r="I755" s="10">
        <v>54.02</v>
      </c>
    </row>
    <row r="756" spans="1:9" s="2" customFormat="1" ht="21.75" customHeight="1">
      <c r="A756" s="8" t="s">
        <v>37</v>
      </c>
      <c r="B756" s="8" t="s">
        <v>39</v>
      </c>
      <c r="C756" s="9" t="str">
        <f t="shared" si="11"/>
        <v>230097</v>
      </c>
      <c r="D756" s="9" t="str">
        <f>"230914102"</f>
        <v>230914102</v>
      </c>
      <c r="E756" s="10">
        <v>61.24</v>
      </c>
      <c r="F756" s="10"/>
      <c r="G756" s="10">
        <v>49.05</v>
      </c>
      <c r="H756" s="10"/>
      <c r="I756" s="10">
        <v>53.93</v>
      </c>
    </row>
    <row r="757" spans="1:9" s="2" customFormat="1" ht="21.75" customHeight="1">
      <c r="A757" s="8" t="s">
        <v>37</v>
      </c>
      <c r="B757" s="8" t="s">
        <v>39</v>
      </c>
      <c r="C757" s="9" t="str">
        <f t="shared" si="11"/>
        <v>230097</v>
      </c>
      <c r="D757" s="9" t="str">
        <f>"230913214"</f>
        <v>230913214</v>
      </c>
      <c r="E757" s="10">
        <v>55.27</v>
      </c>
      <c r="F757" s="10"/>
      <c r="G757" s="10">
        <v>53.01</v>
      </c>
      <c r="H757" s="10"/>
      <c r="I757" s="10">
        <v>53.91</v>
      </c>
    </row>
    <row r="758" spans="1:9" s="3" customFormat="1" ht="21.75" customHeight="1">
      <c r="A758" s="8" t="s">
        <v>37</v>
      </c>
      <c r="B758" s="8" t="s">
        <v>39</v>
      </c>
      <c r="C758" s="9" t="str">
        <f t="shared" si="11"/>
        <v>230097</v>
      </c>
      <c r="D758" s="9" t="str">
        <f>"230914606"</f>
        <v>230914606</v>
      </c>
      <c r="E758" s="10">
        <v>53.53</v>
      </c>
      <c r="F758" s="10"/>
      <c r="G758" s="10">
        <v>54.13</v>
      </c>
      <c r="H758" s="10"/>
      <c r="I758" s="10">
        <v>53.89</v>
      </c>
    </row>
    <row r="759" spans="1:9" s="2" customFormat="1" ht="21.75" customHeight="1">
      <c r="A759" s="8" t="s">
        <v>37</v>
      </c>
      <c r="B759" s="8" t="s">
        <v>39</v>
      </c>
      <c r="C759" s="9" t="str">
        <f t="shared" si="11"/>
        <v>230097</v>
      </c>
      <c r="D759" s="9" t="str">
        <f>"230914609"</f>
        <v>230914609</v>
      </c>
      <c r="E759" s="10">
        <v>63.88</v>
      </c>
      <c r="F759" s="10"/>
      <c r="G759" s="10">
        <v>47.21</v>
      </c>
      <c r="H759" s="10"/>
      <c r="I759" s="10">
        <v>53.88</v>
      </c>
    </row>
    <row r="760" spans="1:9" s="2" customFormat="1" ht="21.75" customHeight="1">
      <c r="A760" s="8" t="s">
        <v>37</v>
      </c>
      <c r="B760" s="8" t="s">
        <v>39</v>
      </c>
      <c r="C760" s="9" t="str">
        <f t="shared" si="11"/>
        <v>230097</v>
      </c>
      <c r="D760" s="9" t="str">
        <f>"230914510"</f>
        <v>230914510</v>
      </c>
      <c r="E760" s="10">
        <v>57.43</v>
      </c>
      <c r="F760" s="10"/>
      <c r="G760" s="10">
        <v>51.22</v>
      </c>
      <c r="H760" s="10"/>
      <c r="I760" s="10">
        <v>53.7</v>
      </c>
    </row>
    <row r="761" spans="1:9" s="3" customFormat="1" ht="21.75" customHeight="1">
      <c r="A761" s="8" t="s">
        <v>37</v>
      </c>
      <c r="B761" s="8" t="s">
        <v>39</v>
      </c>
      <c r="C761" s="9" t="str">
        <f t="shared" si="11"/>
        <v>230097</v>
      </c>
      <c r="D761" s="9" t="str">
        <f>"230913812"</f>
        <v>230913812</v>
      </c>
      <c r="E761" s="10">
        <v>57.22</v>
      </c>
      <c r="F761" s="10"/>
      <c r="G761" s="10">
        <v>51.12</v>
      </c>
      <c r="H761" s="10"/>
      <c r="I761" s="10">
        <v>53.56</v>
      </c>
    </row>
    <row r="762" spans="1:9" s="2" customFormat="1" ht="21.75" customHeight="1">
      <c r="A762" s="8" t="s">
        <v>37</v>
      </c>
      <c r="B762" s="8" t="s">
        <v>39</v>
      </c>
      <c r="C762" s="9" t="str">
        <f t="shared" si="11"/>
        <v>230097</v>
      </c>
      <c r="D762" s="9" t="str">
        <f>"230912621"</f>
        <v>230912621</v>
      </c>
      <c r="E762" s="10">
        <v>63.88</v>
      </c>
      <c r="F762" s="10"/>
      <c r="G762" s="10">
        <v>46.49</v>
      </c>
      <c r="H762" s="10"/>
      <c r="I762" s="10">
        <v>53.45</v>
      </c>
    </row>
    <row r="763" spans="1:9" s="3" customFormat="1" ht="21.75" customHeight="1">
      <c r="A763" s="8" t="s">
        <v>37</v>
      </c>
      <c r="B763" s="8" t="s">
        <v>39</v>
      </c>
      <c r="C763" s="9" t="str">
        <f t="shared" si="11"/>
        <v>230097</v>
      </c>
      <c r="D763" s="9" t="str">
        <f>"230914416"</f>
        <v>230914416</v>
      </c>
      <c r="E763" s="10">
        <v>62.96</v>
      </c>
      <c r="F763" s="10"/>
      <c r="G763" s="10">
        <v>47</v>
      </c>
      <c r="H763" s="10"/>
      <c r="I763" s="10">
        <v>53.38</v>
      </c>
    </row>
    <row r="764" spans="1:9" s="3" customFormat="1" ht="21.75" customHeight="1">
      <c r="A764" s="8" t="s">
        <v>37</v>
      </c>
      <c r="B764" s="8" t="s">
        <v>39</v>
      </c>
      <c r="C764" s="9" t="str">
        <f t="shared" si="11"/>
        <v>230097</v>
      </c>
      <c r="D764" s="9" t="str">
        <f>"230913625"</f>
        <v>230913625</v>
      </c>
      <c r="E764" s="10">
        <v>59.96</v>
      </c>
      <c r="F764" s="10"/>
      <c r="G764" s="10">
        <v>48.86</v>
      </c>
      <c r="H764" s="10"/>
      <c r="I764" s="10">
        <v>53.3</v>
      </c>
    </row>
    <row r="765" spans="1:9" s="2" customFormat="1" ht="21.75" customHeight="1">
      <c r="A765" s="8" t="s">
        <v>37</v>
      </c>
      <c r="B765" s="8" t="s">
        <v>39</v>
      </c>
      <c r="C765" s="9" t="str">
        <f t="shared" si="11"/>
        <v>230097</v>
      </c>
      <c r="D765" s="9" t="str">
        <f>"230913407"</f>
        <v>230913407</v>
      </c>
      <c r="E765" s="10">
        <v>61.82</v>
      </c>
      <c r="F765" s="10"/>
      <c r="G765" s="10">
        <v>47.56</v>
      </c>
      <c r="H765" s="10"/>
      <c r="I765" s="10">
        <v>53.26</v>
      </c>
    </row>
    <row r="766" spans="1:9" s="2" customFormat="1" ht="21.75" customHeight="1">
      <c r="A766" s="8" t="s">
        <v>37</v>
      </c>
      <c r="B766" s="8" t="s">
        <v>39</v>
      </c>
      <c r="C766" s="9" t="str">
        <f t="shared" si="11"/>
        <v>230097</v>
      </c>
      <c r="D766" s="9" t="str">
        <f>"230914401"</f>
        <v>230914401</v>
      </c>
      <c r="E766" s="10">
        <v>59.63</v>
      </c>
      <c r="F766" s="10"/>
      <c r="G766" s="10">
        <v>48.89</v>
      </c>
      <c r="H766" s="10"/>
      <c r="I766" s="10">
        <v>53.19</v>
      </c>
    </row>
    <row r="767" spans="1:9" s="2" customFormat="1" ht="21.75" customHeight="1">
      <c r="A767" s="8" t="s">
        <v>37</v>
      </c>
      <c r="B767" s="8" t="s">
        <v>39</v>
      </c>
      <c r="C767" s="9" t="str">
        <f t="shared" si="11"/>
        <v>230097</v>
      </c>
      <c r="D767" s="9" t="str">
        <f>"230912615"</f>
        <v>230912615</v>
      </c>
      <c r="E767" s="10">
        <v>66.52</v>
      </c>
      <c r="F767" s="10"/>
      <c r="G767" s="10">
        <v>44.06</v>
      </c>
      <c r="H767" s="10"/>
      <c r="I767" s="10">
        <v>53.04</v>
      </c>
    </row>
    <row r="768" spans="1:9" s="2" customFormat="1" ht="21.75" customHeight="1">
      <c r="A768" s="8" t="s">
        <v>37</v>
      </c>
      <c r="B768" s="8" t="s">
        <v>39</v>
      </c>
      <c r="C768" s="9" t="str">
        <f t="shared" si="11"/>
        <v>230097</v>
      </c>
      <c r="D768" s="9" t="str">
        <f>"230913023"</f>
        <v>230913023</v>
      </c>
      <c r="E768" s="10">
        <v>65.87</v>
      </c>
      <c r="F768" s="10"/>
      <c r="G768" s="10">
        <v>44.43</v>
      </c>
      <c r="H768" s="10"/>
      <c r="I768" s="10">
        <v>53.01</v>
      </c>
    </row>
    <row r="769" spans="1:9" s="3" customFormat="1" ht="21.75" customHeight="1">
      <c r="A769" s="8" t="s">
        <v>37</v>
      </c>
      <c r="B769" s="8" t="s">
        <v>39</v>
      </c>
      <c r="C769" s="9" t="str">
        <f t="shared" si="11"/>
        <v>230097</v>
      </c>
      <c r="D769" s="9" t="str">
        <f>"230914313"</f>
        <v>230914313</v>
      </c>
      <c r="E769" s="10">
        <v>58.69</v>
      </c>
      <c r="F769" s="10"/>
      <c r="G769" s="10">
        <v>48.98</v>
      </c>
      <c r="H769" s="10"/>
      <c r="I769" s="10">
        <v>52.86</v>
      </c>
    </row>
    <row r="770" spans="1:9" s="2" customFormat="1" ht="21.75" customHeight="1">
      <c r="A770" s="8" t="s">
        <v>37</v>
      </c>
      <c r="B770" s="8" t="s">
        <v>39</v>
      </c>
      <c r="C770" s="9" t="str">
        <f t="shared" si="11"/>
        <v>230097</v>
      </c>
      <c r="D770" s="9" t="str">
        <f>"230914415"</f>
        <v>230914415</v>
      </c>
      <c r="E770" s="10">
        <v>59.84</v>
      </c>
      <c r="F770" s="10"/>
      <c r="G770" s="10">
        <v>47.91</v>
      </c>
      <c r="H770" s="10"/>
      <c r="I770" s="10">
        <v>52.68</v>
      </c>
    </row>
    <row r="771" spans="1:9" s="2" customFormat="1" ht="21.75" customHeight="1">
      <c r="A771" s="8" t="s">
        <v>37</v>
      </c>
      <c r="B771" s="8" t="s">
        <v>39</v>
      </c>
      <c r="C771" s="9" t="str">
        <f t="shared" si="11"/>
        <v>230097</v>
      </c>
      <c r="D771" s="9" t="str">
        <f>"230914111"</f>
        <v>230914111</v>
      </c>
      <c r="E771" s="10">
        <v>59.62</v>
      </c>
      <c r="F771" s="10"/>
      <c r="G771" s="10">
        <v>48.04</v>
      </c>
      <c r="H771" s="10"/>
      <c r="I771" s="10">
        <v>52.67</v>
      </c>
    </row>
    <row r="772" spans="1:9" s="2" customFormat="1" ht="21.75" customHeight="1">
      <c r="A772" s="8" t="s">
        <v>37</v>
      </c>
      <c r="B772" s="8" t="s">
        <v>39</v>
      </c>
      <c r="C772" s="9" t="str">
        <f t="shared" si="11"/>
        <v>230097</v>
      </c>
      <c r="D772" s="9" t="str">
        <f>"230912929"</f>
        <v>230912929</v>
      </c>
      <c r="E772" s="10">
        <v>71.8</v>
      </c>
      <c r="F772" s="10"/>
      <c r="G772" s="10">
        <v>39.67</v>
      </c>
      <c r="H772" s="10"/>
      <c r="I772" s="10">
        <v>52.52</v>
      </c>
    </row>
    <row r="773" spans="1:9" s="2" customFormat="1" ht="21.75" customHeight="1">
      <c r="A773" s="8" t="s">
        <v>37</v>
      </c>
      <c r="B773" s="8" t="s">
        <v>39</v>
      </c>
      <c r="C773" s="9" t="str">
        <f t="shared" si="11"/>
        <v>230097</v>
      </c>
      <c r="D773" s="9" t="str">
        <f>"230913518"</f>
        <v>230913518</v>
      </c>
      <c r="E773" s="10">
        <v>65.03</v>
      </c>
      <c r="F773" s="10"/>
      <c r="G773" s="10">
        <v>44.17</v>
      </c>
      <c r="H773" s="10"/>
      <c r="I773" s="10">
        <v>52.51</v>
      </c>
    </row>
    <row r="774" spans="1:9" s="2" customFormat="1" ht="21.75" customHeight="1">
      <c r="A774" s="8" t="s">
        <v>37</v>
      </c>
      <c r="B774" s="8" t="s">
        <v>39</v>
      </c>
      <c r="C774" s="9" t="str">
        <f t="shared" ref="C774:C837" si="12">"230097"</f>
        <v>230097</v>
      </c>
      <c r="D774" s="9" t="str">
        <f>"230914513"</f>
        <v>230914513</v>
      </c>
      <c r="E774" s="10">
        <v>61.45</v>
      </c>
      <c r="F774" s="10"/>
      <c r="G774" s="10">
        <v>46.5</v>
      </c>
      <c r="H774" s="10"/>
      <c r="I774" s="10">
        <v>52.48</v>
      </c>
    </row>
    <row r="775" spans="1:9" s="2" customFormat="1" ht="21.75" customHeight="1">
      <c r="A775" s="8" t="s">
        <v>37</v>
      </c>
      <c r="B775" s="8" t="s">
        <v>39</v>
      </c>
      <c r="C775" s="9" t="str">
        <f t="shared" si="12"/>
        <v>230097</v>
      </c>
      <c r="D775" s="9" t="str">
        <f>"230912828"</f>
        <v>230912828</v>
      </c>
      <c r="E775" s="10">
        <v>59.05</v>
      </c>
      <c r="F775" s="10"/>
      <c r="G775" s="10">
        <v>48.08</v>
      </c>
      <c r="H775" s="10"/>
      <c r="I775" s="10">
        <v>52.47</v>
      </c>
    </row>
    <row r="776" spans="1:9" s="3" customFormat="1" ht="21.75" customHeight="1">
      <c r="A776" s="8" t="s">
        <v>37</v>
      </c>
      <c r="B776" s="8" t="s">
        <v>39</v>
      </c>
      <c r="C776" s="9" t="str">
        <f t="shared" si="12"/>
        <v>230097</v>
      </c>
      <c r="D776" s="9" t="str">
        <f>"230913322"</f>
        <v>230913322</v>
      </c>
      <c r="E776" s="10">
        <v>50.78</v>
      </c>
      <c r="F776" s="10"/>
      <c r="G776" s="10">
        <v>53.55</v>
      </c>
      <c r="H776" s="10"/>
      <c r="I776" s="10">
        <v>52.44</v>
      </c>
    </row>
    <row r="777" spans="1:9" s="2" customFormat="1" ht="21.75" customHeight="1">
      <c r="A777" s="8" t="s">
        <v>37</v>
      </c>
      <c r="B777" s="8" t="s">
        <v>39</v>
      </c>
      <c r="C777" s="9" t="str">
        <f t="shared" si="12"/>
        <v>230097</v>
      </c>
      <c r="D777" s="9" t="str">
        <f>"230913026"</f>
        <v>230913026</v>
      </c>
      <c r="E777" s="10">
        <v>56.98</v>
      </c>
      <c r="F777" s="10"/>
      <c r="G777" s="10">
        <v>49.34</v>
      </c>
      <c r="H777" s="10"/>
      <c r="I777" s="10">
        <v>52.4</v>
      </c>
    </row>
    <row r="778" spans="1:9" s="2" customFormat="1" ht="21.75" customHeight="1">
      <c r="A778" s="8" t="s">
        <v>37</v>
      </c>
      <c r="B778" s="8" t="s">
        <v>39</v>
      </c>
      <c r="C778" s="9" t="str">
        <f t="shared" si="12"/>
        <v>230097</v>
      </c>
      <c r="D778" s="9" t="str">
        <f>"230913527"</f>
        <v>230913527</v>
      </c>
      <c r="E778" s="10">
        <v>62.63</v>
      </c>
      <c r="F778" s="10"/>
      <c r="G778" s="10">
        <v>45.39</v>
      </c>
      <c r="H778" s="10"/>
      <c r="I778" s="10">
        <v>52.29</v>
      </c>
    </row>
    <row r="779" spans="1:9" s="2" customFormat="1" ht="21.75" customHeight="1">
      <c r="A779" s="8" t="s">
        <v>37</v>
      </c>
      <c r="B779" s="8" t="s">
        <v>39</v>
      </c>
      <c r="C779" s="9" t="str">
        <f t="shared" si="12"/>
        <v>230097</v>
      </c>
      <c r="D779" s="9" t="str">
        <f>"230913021"</f>
        <v>230913021</v>
      </c>
      <c r="E779" s="10">
        <v>63.31</v>
      </c>
      <c r="F779" s="10"/>
      <c r="G779" s="10">
        <v>44.77</v>
      </c>
      <c r="H779" s="10"/>
      <c r="I779" s="10">
        <v>52.19</v>
      </c>
    </row>
    <row r="780" spans="1:9" s="2" customFormat="1" ht="21.75" customHeight="1">
      <c r="A780" s="8" t="s">
        <v>37</v>
      </c>
      <c r="B780" s="8" t="s">
        <v>39</v>
      </c>
      <c r="C780" s="9" t="str">
        <f t="shared" si="12"/>
        <v>230097</v>
      </c>
      <c r="D780" s="9" t="str">
        <f>"230913912"</f>
        <v>230913912</v>
      </c>
      <c r="E780" s="10">
        <v>58.69</v>
      </c>
      <c r="F780" s="10"/>
      <c r="G780" s="10">
        <v>47.48</v>
      </c>
      <c r="H780" s="10"/>
      <c r="I780" s="10">
        <v>51.96</v>
      </c>
    </row>
    <row r="781" spans="1:9" s="3" customFormat="1" ht="21.75" customHeight="1">
      <c r="A781" s="8" t="s">
        <v>37</v>
      </c>
      <c r="B781" s="8" t="s">
        <v>39</v>
      </c>
      <c r="C781" s="9" t="str">
        <f t="shared" si="12"/>
        <v>230097</v>
      </c>
      <c r="D781" s="9" t="str">
        <f>"230913330"</f>
        <v>230913330</v>
      </c>
      <c r="E781" s="10">
        <v>51.45</v>
      </c>
      <c r="F781" s="10"/>
      <c r="G781" s="10">
        <v>52.26</v>
      </c>
      <c r="H781" s="10"/>
      <c r="I781" s="10">
        <v>51.94</v>
      </c>
    </row>
    <row r="782" spans="1:9" s="2" customFormat="1" ht="21.75" customHeight="1">
      <c r="A782" s="8" t="s">
        <v>37</v>
      </c>
      <c r="B782" s="8" t="s">
        <v>39</v>
      </c>
      <c r="C782" s="9" t="str">
        <f t="shared" si="12"/>
        <v>230097</v>
      </c>
      <c r="D782" s="9" t="str">
        <f>"230913423"</f>
        <v>230913423</v>
      </c>
      <c r="E782" s="10">
        <v>61.24</v>
      </c>
      <c r="F782" s="10"/>
      <c r="G782" s="10">
        <v>45.74</v>
      </c>
      <c r="H782" s="10"/>
      <c r="I782" s="10">
        <v>51.94</v>
      </c>
    </row>
    <row r="783" spans="1:9" s="2" customFormat="1" ht="21.75" customHeight="1">
      <c r="A783" s="8" t="s">
        <v>37</v>
      </c>
      <c r="B783" s="8" t="s">
        <v>39</v>
      </c>
      <c r="C783" s="9" t="str">
        <f t="shared" si="12"/>
        <v>230097</v>
      </c>
      <c r="D783" s="9" t="str">
        <f>"230914419"</f>
        <v>230914419</v>
      </c>
      <c r="E783" s="10">
        <v>68.709999999999994</v>
      </c>
      <c r="F783" s="10"/>
      <c r="G783" s="10">
        <v>40.76</v>
      </c>
      <c r="H783" s="10"/>
      <c r="I783" s="10">
        <v>51.94</v>
      </c>
    </row>
    <row r="784" spans="1:9" s="2" customFormat="1" ht="21.75" customHeight="1">
      <c r="A784" s="8" t="s">
        <v>37</v>
      </c>
      <c r="B784" s="8" t="s">
        <v>39</v>
      </c>
      <c r="C784" s="9" t="str">
        <f t="shared" si="12"/>
        <v>230097</v>
      </c>
      <c r="D784" s="9" t="str">
        <f>"230912908"</f>
        <v>230912908</v>
      </c>
      <c r="E784" s="10">
        <v>60.78</v>
      </c>
      <c r="F784" s="10"/>
      <c r="G784" s="10">
        <v>46</v>
      </c>
      <c r="H784" s="10"/>
      <c r="I784" s="10">
        <v>51.91</v>
      </c>
    </row>
    <row r="785" spans="1:9" s="3" customFormat="1" ht="21.75" customHeight="1">
      <c r="A785" s="8" t="s">
        <v>37</v>
      </c>
      <c r="B785" s="8" t="s">
        <v>39</v>
      </c>
      <c r="C785" s="9" t="str">
        <f t="shared" si="12"/>
        <v>230097</v>
      </c>
      <c r="D785" s="9" t="str">
        <f>"230913007"</f>
        <v>230913007</v>
      </c>
      <c r="E785" s="10">
        <v>47.19</v>
      </c>
      <c r="F785" s="10"/>
      <c r="G785" s="10">
        <v>54.64</v>
      </c>
      <c r="H785" s="10"/>
      <c r="I785" s="10">
        <v>51.66</v>
      </c>
    </row>
    <row r="786" spans="1:9" s="2" customFormat="1" ht="21.75" customHeight="1">
      <c r="A786" s="8" t="s">
        <v>37</v>
      </c>
      <c r="B786" s="8" t="s">
        <v>39</v>
      </c>
      <c r="C786" s="9" t="str">
        <f t="shared" si="12"/>
        <v>230097</v>
      </c>
      <c r="D786" s="9" t="str">
        <f>"230912907"</f>
        <v>230912907</v>
      </c>
      <c r="E786" s="10">
        <v>58.37</v>
      </c>
      <c r="F786" s="10"/>
      <c r="G786" s="10">
        <v>46.99</v>
      </c>
      <c r="H786" s="10"/>
      <c r="I786" s="10">
        <v>51.54</v>
      </c>
    </row>
    <row r="787" spans="1:9" s="2" customFormat="1" ht="21.75" customHeight="1">
      <c r="A787" s="8" t="s">
        <v>37</v>
      </c>
      <c r="B787" s="8" t="s">
        <v>39</v>
      </c>
      <c r="C787" s="9" t="str">
        <f t="shared" si="12"/>
        <v>230097</v>
      </c>
      <c r="D787" s="9" t="str">
        <f>"230913123"</f>
        <v>230913123</v>
      </c>
      <c r="E787" s="10">
        <v>65.73</v>
      </c>
      <c r="F787" s="10"/>
      <c r="G787" s="10">
        <v>41.99</v>
      </c>
      <c r="H787" s="10"/>
      <c r="I787" s="10">
        <v>51.49</v>
      </c>
    </row>
    <row r="788" spans="1:9" s="2" customFormat="1" ht="21.75" customHeight="1">
      <c r="A788" s="8" t="s">
        <v>37</v>
      </c>
      <c r="B788" s="8" t="s">
        <v>39</v>
      </c>
      <c r="C788" s="9" t="str">
        <f t="shared" si="12"/>
        <v>230097</v>
      </c>
      <c r="D788" s="9" t="str">
        <f>"230913604"</f>
        <v>230913604</v>
      </c>
      <c r="E788" s="10">
        <v>52.6</v>
      </c>
      <c r="F788" s="10"/>
      <c r="G788" s="10">
        <v>50.66</v>
      </c>
      <c r="H788" s="10"/>
      <c r="I788" s="10">
        <v>51.44</v>
      </c>
    </row>
    <row r="789" spans="1:9" s="2" customFormat="1" ht="21.75" customHeight="1">
      <c r="A789" s="8" t="s">
        <v>37</v>
      </c>
      <c r="B789" s="8" t="s">
        <v>39</v>
      </c>
      <c r="C789" s="9" t="str">
        <f t="shared" si="12"/>
        <v>230097</v>
      </c>
      <c r="D789" s="9" t="str">
        <f>"230914601"</f>
        <v>230914601</v>
      </c>
      <c r="E789" s="10">
        <v>68.260000000000005</v>
      </c>
      <c r="F789" s="10"/>
      <c r="G789" s="10">
        <v>40.08</v>
      </c>
      <c r="H789" s="10"/>
      <c r="I789" s="10">
        <v>51.35</v>
      </c>
    </row>
    <row r="790" spans="1:9" s="2" customFormat="1" ht="21.75" customHeight="1">
      <c r="A790" s="8" t="s">
        <v>37</v>
      </c>
      <c r="B790" s="8" t="s">
        <v>39</v>
      </c>
      <c r="C790" s="9" t="str">
        <f t="shared" si="12"/>
        <v>230097</v>
      </c>
      <c r="D790" s="9" t="str">
        <f>"230913802"</f>
        <v>230913802</v>
      </c>
      <c r="E790" s="10">
        <v>54.45</v>
      </c>
      <c r="F790" s="10"/>
      <c r="G790" s="10">
        <v>49.21</v>
      </c>
      <c r="H790" s="10"/>
      <c r="I790" s="10">
        <v>51.31</v>
      </c>
    </row>
    <row r="791" spans="1:9" s="2" customFormat="1" ht="21.75" customHeight="1">
      <c r="A791" s="8" t="s">
        <v>37</v>
      </c>
      <c r="B791" s="8" t="s">
        <v>39</v>
      </c>
      <c r="C791" s="9" t="str">
        <f t="shared" si="12"/>
        <v>230097</v>
      </c>
      <c r="D791" s="9" t="str">
        <f>"230914319"</f>
        <v>230914319</v>
      </c>
      <c r="E791" s="10">
        <v>52.05</v>
      </c>
      <c r="F791" s="10"/>
      <c r="G791" s="10">
        <v>50.79</v>
      </c>
      <c r="H791" s="10"/>
      <c r="I791" s="10">
        <v>51.29</v>
      </c>
    </row>
    <row r="792" spans="1:9" s="2" customFormat="1" ht="21.75" customHeight="1">
      <c r="A792" s="8" t="s">
        <v>37</v>
      </c>
      <c r="B792" s="8" t="s">
        <v>39</v>
      </c>
      <c r="C792" s="9" t="str">
        <f t="shared" si="12"/>
        <v>230097</v>
      </c>
      <c r="D792" s="9" t="str">
        <f>"230912613"</f>
        <v>230912613</v>
      </c>
      <c r="E792" s="10">
        <v>58.35</v>
      </c>
      <c r="F792" s="10"/>
      <c r="G792" s="10">
        <v>46.48</v>
      </c>
      <c r="H792" s="10"/>
      <c r="I792" s="10">
        <v>51.23</v>
      </c>
    </row>
    <row r="793" spans="1:9" s="2" customFormat="1" ht="21.75" customHeight="1">
      <c r="A793" s="8" t="s">
        <v>37</v>
      </c>
      <c r="B793" s="8" t="s">
        <v>39</v>
      </c>
      <c r="C793" s="9" t="str">
        <f t="shared" si="12"/>
        <v>230097</v>
      </c>
      <c r="D793" s="9" t="str">
        <f>"230912917"</f>
        <v>230912917</v>
      </c>
      <c r="E793" s="10">
        <v>68.03</v>
      </c>
      <c r="F793" s="10"/>
      <c r="G793" s="10">
        <v>39.75</v>
      </c>
      <c r="H793" s="10"/>
      <c r="I793" s="10">
        <v>51.06</v>
      </c>
    </row>
    <row r="794" spans="1:9" s="2" customFormat="1" ht="21.75" customHeight="1">
      <c r="A794" s="8" t="s">
        <v>37</v>
      </c>
      <c r="B794" s="8" t="s">
        <v>39</v>
      </c>
      <c r="C794" s="9" t="str">
        <f t="shared" si="12"/>
        <v>230097</v>
      </c>
      <c r="D794" s="9" t="str">
        <f>"230913403"</f>
        <v>230913403</v>
      </c>
      <c r="E794" s="10">
        <v>64.8</v>
      </c>
      <c r="F794" s="10"/>
      <c r="G794" s="10">
        <v>41.87</v>
      </c>
      <c r="H794" s="10"/>
      <c r="I794" s="10">
        <v>51.04</v>
      </c>
    </row>
    <row r="795" spans="1:9" s="2" customFormat="1" ht="21.75" customHeight="1">
      <c r="A795" s="8" t="s">
        <v>37</v>
      </c>
      <c r="B795" s="8" t="s">
        <v>39</v>
      </c>
      <c r="C795" s="9" t="str">
        <f t="shared" si="12"/>
        <v>230097</v>
      </c>
      <c r="D795" s="9" t="str">
        <f>"230913827"</f>
        <v>230913827</v>
      </c>
      <c r="E795" s="10">
        <v>69.64</v>
      </c>
      <c r="F795" s="10"/>
      <c r="G795" s="10">
        <v>38.57</v>
      </c>
      <c r="H795" s="10"/>
      <c r="I795" s="10">
        <v>51</v>
      </c>
    </row>
    <row r="796" spans="1:9" s="2" customFormat="1" ht="21.75" customHeight="1">
      <c r="A796" s="8" t="s">
        <v>37</v>
      </c>
      <c r="B796" s="8" t="s">
        <v>39</v>
      </c>
      <c r="C796" s="9" t="str">
        <f t="shared" si="12"/>
        <v>230097</v>
      </c>
      <c r="D796" s="9" t="str">
        <f>"230913606"</f>
        <v>230913606</v>
      </c>
      <c r="E796" s="10">
        <v>52.38</v>
      </c>
      <c r="F796" s="10"/>
      <c r="G796" s="10">
        <v>49.97</v>
      </c>
      <c r="H796" s="10"/>
      <c r="I796" s="10">
        <v>50.93</v>
      </c>
    </row>
    <row r="797" spans="1:9" s="2" customFormat="1" ht="21.75" customHeight="1">
      <c r="A797" s="8" t="s">
        <v>37</v>
      </c>
      <c r="B797" s="8" t="s">
        <v>39</v>
      </c>
      <c r="C797" s="9" t="str">
        <f t="shared" si="12"/>
        <v>230097</v>
      </c>
      <c r="D797" s="9" t="str">
        <f>"230912628"</f>
        <v>230912628</v>
      </c>
      <c r="E797" s="10">
        <v>60.89</v>
      </c>
      <c r="F797" s="10"/>
      <c r="G797" s="10">
        <v>44.16</v>
      </c>
      <c r="H797" s="10"/>
      <c r="I797" s="10">
        <v>50.85</v>
      </c>
    </row>
    <row r="798" spans="1:9" s="2" customFormat="1" ht="21.75" customHeight="1">
      <c r="A798" s="8" t="s">
        <v>37</v>
      </c>
      <c r="B798" s="8" t="s">
        <v>39</v>
      </c>
      <c r="C798" s="9" t="str">
        <f t="shared" si="12"/>
        <v>230097</v>
      </c>
      <c r="D798" s="9" t="str">
        <f>"230913713"</f>
        <v>230913713</v>
      </c>
      <c r="E798" s="10">
        <v>61.82</v>
      </c>
      <c r="F798" s="10"/>
      <c r="G798" s="10">
        <v>43.53</v>
      </c>
      <c r="H798" s="10"/>
      <c r="I798" s="10">
        <v>50.85</v>
      </c>
    </row>
    <row r="799" spans="1:9" s="2" customFormat="1" ht="21.75" customHeight="1">
      <c r="A799" s="8" t="s">
        <v>37</v>
      </c>
      <c r="B799" s="8" t="s">
        <v>39</v>
      </c>
      <c r="C799" s="9" t="str">
        <f t="shared" si="12"/>
        <v>230097</v>
      </c>
      <c r="D799" s="9" t="str">
        <f>"230912825"</f>
        <v>230912825</v>
      </c>
      <c r="E799" s="10">
        <v>52.39</v>
      </c>
      <c r="F799" s="10"/>
      <c r="G799" s="10">
        <v>49.75</v>
      </c>
      <c r="H799" s="10"/>
      <c r="I799" s="10">
        <v>50.81</v>
      </c>
    </row>
    <row r="800" spans="1:9" s="3" customFormat="1" ht="21.75" customHeight="1">
      <c r="A800" s="8" t="s">
        <v>37</v>
      </c>
      <c r="B800" s="8" t="s">
        <v>39</v>
      </c>
      <c r="C800" s="9" t="str">
        <f t="shared" si="12"/>
        <v>230097</v>
      </c>
      <c r="D800" s="9" t="str">
        <f>"230914501"</f>
        <v>230914501</v>
      </c>
      <c r="E800" s="10">
        <v>50.32</v>
      </c>
      <c r="F800" s="10"/>
      <c r="G800" s="10">
        <v>50.3</v>
      </c>
      <c r="H800" s="10"/>
      <c r="I800" s="10">
        <v>50.31</v>
      </c>
    </row>
    <row r="801" spans="1:9" s="2" customFormat="1" ht="21.75" customHeight="1">
      <c r="A801" s="8" t="s">
        <v>37</v>
      </c>
      <c r="B801" s="8" t="s">
        <v>39</v>
      </c>
      <c r="C801" s="9" t="str">
        <f t="shared" si="12"/>
        <v>230097</v>
      </c>
      <c r="D801" s="9" t="str">
        <f>"230912609"</f>
        <v>230912609</v>
      </c>
      <c r="E801" s="10">
        <v>67.48</v>
      </c>
      <c r="F801" s="10"/>
      <c r="G801" s="10">
        <v>38.25</v>
      </c>
      <c r="H801" s="10"/>
      <c r="I801" s="10">
        <v>49.94</v>
      </c>
    </row>
    <row r="802" spans="1:9" s="2" customFormat="1" ht="21.75" customHeight="1">
      <c r="A802" s="8" t="s">
        <v>37</v>
      </c>
      <c r="B802" s="8" t="s">
        <v>39</v>
      </c>
      <c r="C802" s="9" t="str">
        <f t="shared" si="12"/>
        <v>230097</v>
      </c>
      <c r="D802" s="9" t="str">
        <f>"230913723"</f>
        <v>230913723</v>
      </c>
      <c r="E802" s="10">
        <v>68.7</v>
      </c>
      <c r="F802" s="10"/>
      <c r="G802" s="10">
        <v>36.950000000000003</v>
      </c>
      <c r="H802" s="10"/>
      <c r="I802" s="10">
        <v>49.65</v>
      </c>
    </row>
    <row r="803" spans="1:9" s="2" customFormat="1" ht="21.75" customHeight="1">
      <c r="A803" s="8" t="s">
        <v>37</v>
      </c>
      <c r="B803" s="8" t="s">
        <v>39</v>
      </c>
      <c r="C803" s="9" t="str">
        <f t="shared" si="12"/>
        <v>230097</v>
      </c>
      <c r="D803" s="9" t="str">
        <f>"230912717"</f>
        <v>230912717</v>
      </c>
      <c r="E803" s="10">
        <v>49.97</v>
      </c>
      <c r="F803" s="10"/>
      <c r="G803" s="10">
        <v>49.31</v>
      </c>
      <c r="H803" s="10"/>
      <c r="I803" s="10">
        <v>49.57</v>
      </c>
    </row>
    <row r="804" spans="1:9" s="2" customFormat="1" ht="21.75" customHeight="1">
      <c r="A804" s="8" t="s">
        <v>37</v>
      </c>
      <c r="B804" s="8" t="s">
        <v>39</v>
      </c>
      <c r="C804" s="9" t="str">
        <f t="shared" si="12"/>
        <v>230097</v>
      </c>
      <c r="D804" s="9" t="str">
        <f>"230913603"</f>
        <v>230913603</v>
      </c>
      <c r="E804" s="10">
        <v>46.29</v>
      </c>
      <c r="F804" s="10"/>
      <c r="G804" s="10">
        <v>51.7</v>
      </c>
      <c r="H804" s="10"/>
      <c r="I804" s="10">
        <v>49.54</v>
      </c>
    </row>
    <row r="805" spans="1:9" s="2" customFormat="1" ht="21.75" customHeight="1">
      <c r="A805" s="8" t="s">
        <v>37</v>
      </c>
      <c r="B805" s="8" t="s">
        <v>39</v>
      </c>
      <c r="C805" s="9" t="str">
        <f t="shared" si="12"/>
        <v>230097</v>
      </c>
      <c r="D805" s="9" t="str">
        <f>"230913201"</f>
        <v>230913201</v>
      </c>
      <c r="E805" s="10">
        <v>51.46</v>
      </c>
      <c r="F805" s="10"/>
      <c r="G805" s="10">
        <v>47.83</v>
      </c>
      <c r="H805" s="10"/>
      <c r="I805" s="10">
        <v>49.28</v>
      </c>
    </row>
    <row r="806" spans="1:9" s="2" customFormat="1" ht="21.75" customHeight="1">
      <c r="A806" s="8" t="s">
        <v>37</v>
      </c>
      <c r="B806" s="8" t="s">
        <v>39</v>
      </c>
      <c r="C806" s="9" t="str">
        <f t="shared" si="12"/>
        <v>230097</v>
      </c>
      <c r="D806" s="9" t="str">
        <f>"230914128"</f>
        <v>230914128</v>
      </c>
      <c r="E806" s="10">
        <v>55.6</v>
      </c>
      <c r="F806" s="10"/>
      <c r="G806" s="10">
        <v>44.97</v>
      </c>
      <c r="H806" s="10"/>
      <c r="I806" s="10">
        <v>49.22</v>
      </c>
    </row>
    <row r="807" spans="1:9" s="3" customFormat="1" ht="21.75" customHeight="1">
      <c r="A807" s="8" t="s">
        <v>37</v>
      </c>
      <c r="B807" s="8" t="s">
        <v>39</v>
      </c>
      <c r="C807" s="9" t="str">
        <f t="shared" si="12"/>
        <v>230097</v>
      </c>
      <c r="D807" s="9" t="str">
        <f>"230914330"</f>
        <v>230914330</v>
      </c>
      <c r="E807" s="10">
        <v>58.7</v>
      </c>
      <c r="F807" s="10"/>
      <c r="G807" s="10">
        <v>42.74</v>
      </c>
      <c r="H807" s="10"/>
      <c r="I807" s="10">
        <v>49.12</v>
      </c>
    </row>
    <row r="808" spans="1:9" s="3" customFormat="1" ht="21.75" customHeight="1">
      <c r="A808" s="8" t="s">
        <v>37</v>
      </c>
      <c r="B808" s="8" t="s">
        <v>39</v>
      </c>
      <c r="C808" s="9" t="str">
        <f t="shared" si="12"/>
        <v>230097</v>
      </c>
      <c r="D808" s="9" t="str">
        <f>"230912629"</f>
        <v>230912629</v>
      </c>
      <c r="E808" s="10">
        <v>60.89</v>
      </c>
      <c r="F808" s="10"/>
      <c r="G808" s="10">
        <v>41.26</v>
      </c>
      <c r="H808" s="10"/>
      <c r="I808" s="10">
        <v>49.11</v>
      </c>
    </row>
    <row r="809" spans="1:9" s="2" customFormat="1" ht="21.75" customHeight="1">
      <c r="A809" s="8" t="s">
        <v>37</v>
      </c>
      <c r="B809" s="8" t="s">
        <v>39</v>
      </c>
      <c r="C809" s="9" t="str">
        <f t="shared" si="12"/>
        <v>230097</v>
      </c>
      <c r="D809" s="9" t="str">
        <f>"230913624"</f>
        <v>230913624</v>
      </c>
      <c r="E809" s="10">
        <v>59.5</v>
      </c>
      <c r="F809" s="10"/>
      <c r="G809" s="10">
        <v>41.97</v>
      </c>
      <c r="H809" s="10"/>
      <c r="I809" s="10">
        <v>48.98</v>
      </c>
    </row>
    <row r="810" spans="1:9" s="2" customFormat="1" ht="21.75" customHeight="1">
      <c r="A810" s="8" t="s">
        <v>37</v>
      </c>
      <c r="B810" s="8" t="s">
        <v>39</v>
      </c>
      <c r="C810" s="9" t="str">
        <f t="shared" si="12"/>
        <v>230097</v>
      </c>
      <c r="D810" s="9" t="str">
        <f>"230914026"</f>
        <v>230914026</v>
      </c>
      <c r="E810" s="10">
        <v>50.66</v>
      </c>
      <c r="F810" s="10"/>
      <c r="G810" s="10">
        <v>47.41</v>
      </c>
      <c r="H810" s="10"/>
      <c r="I810" s="10">
        <v>48.71</v>
      </c>
    </row>
    <row r="811" spans="1:9" s="2" customFormat="1" ht="21.75" customHeight="1">
      <c r="A811" s="8" t="s">
        <v>37</v>
      </c>
      <c r="B811" s="8" t="s">
        <v>39</v>
      </c>
      <c r="C811" s="9" t="str">
        <f t="shared" si="12"/>
        <v>230097</v>
      </c>
      <c r="D811" s="9" t="str">
        <f>"230914103"</f>
        <v>230914103</v>
      </c>
      <c r="E811" s="10">
        <v>66.19</v>
      </c>
      <c r="F811" s="10"/>
      <c r="G811" s="10">
        <v>36.56</v>
      </c>
      <c r="H811" s="10"/>
      <c r="I811" s="10">
        <v>48.41</v>
      </c>
    </row>
    <row r="812" spans="1:9" s="2" customFormat="1" ht="21.75" customHeight="1">
      <c r="A812" s="8" t="s">
        <v>37</v>
      </c>
      <c r="B812" s="8" t="s">
        <v>39</v>
      </c>
      <c r="C812" s="9" t="str">
        <f t="shared" si="12"/>
        <v>230097</v>
      </c>
      <c r="D812" s="9" t="str">
        <f>"230913128"</f>
        <v>230913128</v>
      </c>
      <c r="E812" s="10">
        <v>53.21</v>
      </c>
      <c r="F812" s="10"/>
      <c r="G812" s="10">
        <v>45.08</v>
      </c>
      <c r="H812" s="10"/>
      <c r="I812" s="10">
        <v>48.33</v>
      </c>
    </row>
    <row r="813" spans="1:9" s="2" customFormat="1" ht="21.75" customHeight="1">
      <c r="A813" s="8" t="s">
        <v>37</v>
      </c>
      <c r="B813" s="8" t="s">
        <v>39</v>
      </c>
      <c r="C813" s="9" t="str">
        <f t="shared" si="12"/>
        <v>230097</v>
      </c>
      <c r="D813" s="9" t="str">
        <f>"230913828"</f>
        <v>230913828</v>
      </c>
      <c r="E813" s="10">
        <v>54.22</v>
      </c>
      <c r="F813" s="10"/>
      <c r="G813" s="10">
        <v>44.19</v>
      </c>
      <c r="H813" s="10"/>
      <c r="I813" s="10">
        <v>48.2</v>
      </c>
    </row>
    <row r="814" spans="1:9" s="2" customFormat="1" ht="21.75" customHeight="1">
      <c r="A814" s="8" t="s">
        <v>37</v>
      </c>
      <c r="B814" s="8" t="s">
        <v>39</v>
      </c>
      <c r="C814" s="9" t="str">
        <f t="shared" si="12"/>
        <v>230097</v>
      </c>
      <c r="D814" s="9" t="str">
        <f>"230912815"</f>
        <v>230912815</v>
      </c>
      <c r="E814" s="10">
        <v>58.82</v>
      </c>
      <c r="F814" s="10"/>
      <c r="G814" s="10">
        <v>40.98</v>
      </c>
      <c r="H814" s="10"/>
      <c r="I814" s="10">
        <v>48.12</v>
      </c>
    </row>
    <row r="815" spans="1:9" s="2" customFormat="1" ht="21.75" customHeight="1">
      <c r="A815" s="8" t="s">
        <v>37</v>
      </c>
      <c r="B815" s="8" t="s">
        <v>39</v>
      </c>
      <c r="C815" s="9" t="str">
        <f t="shared" si="12"/>
        <v>230097</v>
      </c>
      <c r="D815" s="9" t="str">
        <f>"230914119"</f>
        <v>230914119</v>
      </c>
      <c r="E815" s="10">
        <v>63.88</v>
      </c>
      <c r="F815" s="10"/>
      <c r="G815" s="10">
        <v>37.4</v>
      </c>
      <c r="H815" s="10"/>
      <c r="I815" s="10">
        <v>47.99</v>
      </c>
    </row>
    <row r="816" spans="1:9" s="2" customFormat="1" ht="21.75" customHeight="1">
      <c r="A816" s="8" t="s">
        <v>37</v>
      </c>
      <c r="B816" s="8" t="s">
        <v>39</v>
      </c>
      <c r="C816" s="9" t="str">
        <f t="shared" si="12"/>
        <v>230097</v>
      </c>
      <c r="D816" s="9" t="str">
        <f>"230914022"</f>
        <v>230914022</v>
      </c>
      <c r="E816" s="10">
        <v>62.02</v>
      </c>
      <c r="F816" s="10"/>
      <c r="G816" s="10">
        <v>38.479999999999997</v>
      </c>
      <c r="H816" s="10"/>
      <c r="I816" s="10">
        <v>47.9</v>
      </c>
    </row>
    <row r="817" spans="1:9" s="3" customFormat="1" ht="21.75" customHeight="1">
      <c r="A817" s="8" t="s">
        <v>37</v>
      </c>
      <c r="B817" s="8" t="s">
        <v>39</v>
      </c>
      <c r="C817" s="9" t="str">
        <f t="shared" si="12"/>
        <v>230097</v>
      </c>
      <c r="D817" s="9" t="str">
        <f>"230913005"</f>
        <v>230913005</v>
      </c>
      <c r="E817" s="10">
        <v>56.69</v>
      </c>
      <c r="F817" s="10"/>
      <c r="G817" s="10">
        <v>41.81</v>
      </c>
      <c r="H817" s="10"/>
      <c r="I817" s="10">
        <v>47.76</v>
      </c>
    </row>
    <row r="818" spans="1:9" s="2" customFormat="1" ht="21.75" customHeight="1">
      <c r="A818" s="8" t="s">
        <v>37</v>
      </c>
      <c r="B818" s="8" t="s">
        <v>39</v>
      </c>
      <c r="C818" s="9" t="str">
        <f t="shared" si="12"/>
        <v>230097</v>
      </c>
      <c r="D818" s="9" t="str">
        <f>"230913615"</f>
        <v>230913615</v>
      </c>
      <c r="E818" s="10">
        <v>48.11</v>
      </c>
      <c r="F818" s="10"/>
      <c r="G818" s="10">
        <v>47.37</v>
      </c>
      <c r="H818" s="10"/>
      <c r="I818" s="10">
        <v>47.67</v>
      </c>
    </row>
    <row r="819" spans="1:9" s="2" customFormat="1" ht="21.75" customHeight="1">
      <c r="A819" s="8" t="s">
        <v>37</v>
      </c>
      <c r="B819" s="8" t="s">
        <v>39</v>
      </c>
      <c r="C819" s="9" t="str">
        <f t="shared" si="12"/>
        <v>230097</v>
      </c>
      <c r="D819" s="9" t="str">
        <f>"230912716"</f>
        <v>230912716</v>
      </c>
      <c r="E819" s="10">
        <v>55.04</v>
      </c>
      <c r="F819" s="10"/>
      <c r="G819" s="10">
        <v>42.69</v>
      </c>
      <c r="H819" s="10"/>
      <c r="I819" s="10">
        <v>47.63</v>
      </c>
    </row>
    <row r="820" spans="1:9" s="2" customFormat="1" ht="21.75" customHeight="1">
      <c r="A820" s="8" t="s">
        <v>37</v>
      </c>
      <c r="B820" s="8" t="s">
        <v>39</v>
      </c>
      <c r="C820" s="9" t="str">
        <f t="shared" si="12"/>
        <v>230097</v>
      </c>
      <c r="D820" s="9" t="str">
        <f>"230912622"</f>
        <v>230912622</v>
      </c>
      <c r="E820" s="10">
        <v>54.44</v>
      </c>
      <c r="F820" s="10"/>
      <c r="G820" s="10">
        <v>43</v>
      </c>
      <c r="H820" s="10"/>
      <c r="I820" s="10">
        <v>47.58</v>
      </c>
    </row>
    <row r="821" spans="1:9" s="3" customFormat="1" ht="21.75" customHeight="1">
      <c r="A821" s="8" t="s">
        <v>37</v>
      </c>
      <c r="B821" s="8" t="s">
        <v>39</v>
      </c>
      <c r="C821" s="9" t="str">
        <f t="shared" si="12"/>
        <v>230097</v>
      </c>
      <c r="D821" s="9" t="str">
        <f>"230913920"</f>
        <v>230913920</v>
      </c>
      <c r="E821" s="10">
        <v>60.2</v>
      </c>
      <c r="F821" s="10"/>
      <c r="G821" s="10">
        <v>38.21</v>
      </c>
      <c r="H821" s="10"/>
      <c r="I821" s="10">
        <v>47.01</v>
      </c>
    </row>
    <row r="822" spans="1:9" s="2" customFormat="1" ht="21.75" customHeight="1">
      <c r="A822" s="8" t="s">
        <v>37</v>
      </c>
      <c r="B822" s="8" t="s">
        <v>39</v>
      </c>
      <c r="C822" s="9" t="str">
        <f t="shared" si="12"/>
        <v>230097</v>
      </c>
      <c r="D822" s="9" t="str">
        <f>"230913909"</f>
        <v>230913909</v>
      </c>
      <c r="E822" s="10">
        <v>51.58</v>
      </c>
      <c r="F822" s="10"/>
      <c r="G822" s="10">
        <v>43.44</v>
      </c>
      <c r="H822" s="10"/>
      <c r="I822" s="10">
        <v>46.7</v>
      </c>
    </row>
    <row r="823" spans="1:9" s="2" customFormat="1" ht="21.75" customHeight="1">
      <c r="A823" s="8" t="s">
        <v>37</v>
      </c>
      <c r="B823" s="8" t="s">
        <v>39</v>
      </c>
      <c r="C823" s="9" t="str">
        <f t="shared" si="12"/>
        <v>230097</v>
      </c>
      <c r="D823" s="9" t="str">
        <f>"230914519"</f>
        <v>230914519</v>
      </c>
      <c r="E823" s="10">
        <v>48.11</v>
      </c>
      <c r="F823" s="10"/>
      <c r="G823" s="10">
        <v>45.35</v>
      </c>
      <c r="H823" s="10"/>
      <c r="I823" s="10">
        <v>46.45</v>
      </c>
    </row>
    <row r="824" spans="1:9" s="3" customFormat="1" ht="21.75" customHeight="1">
      <c r="A824" s="8" t="s">
        <v>37</v>
      </c>
      <c r="B824" s="8" t="s">
        <v>39</v>
      </c>
      <c r="C824" s="9" t="str">
        <f t="shared" si="12"/>
        <v>230097</v>
      </c>
      <c r="D824" s="9" t="str">
        <f>"230912711"</f>
        <v>230912711</v>
      </c>
      <c r="E824" s="10">
        <v>52.62</v>
      </c>
      <c r="F824" s="10"/>
      <c r="G824" s="10">
        <v>42.26</v>
      </c>
      <c r="H824" s="10"/>
      <c r="I824" s="10">
        <v>46.4</v>
      </c>
    </row>
    <row r="825" spans="1:9" s="2" customFormat="1" ht="21.75" customHeight="1">
      <c r="A825" s="8" t="s">
        <v>37</v>
      </c>
      <c r="B825" s="8" t="s">
        <v>39</v>
      </c>
      <c r="C825" s="9" t="str">
        <f t="shared" si="12"/>
        <v>230097</v>
      </c>
      <c r="D825" s="9" t="str">
        <f>"230914406"</f>
        <v>230914406</v>
      </c>
      <c r="E825" s="10">
        <v>52.03</v>
      </c>
      <c r="F825" s="10"/>
      <c r="G825" s="10">
        <v>40.840000000000003</v>
      </c>
      <c r="H825" s="10"/>
      <c r="I825" s="10">
        <v>45.32</v>
      </c>
    </row>
    <row r="826" spans="1:9" s="2" customFormat="1" ht="21.75" customHeight="1">
      <c r="A826" s="8" t="s">
        <v>37</v>
      </c>
      <c r="B826" s="8" t="s">
        <v>39</v>
      </c>
      <c r="C826" s="9" t="str">
        <f t="shared" si="12"/>
        <v>230097</v>
      </c>
      <c r="D826" s="9" t="str">
        <f>"230914613"</f>
        <v>230914613</v>
      </c>
      <c r="E826" s="10">
        <v>64.58</v>
      </c>
      <c r="F826" s="10"/>
      <c r="G826" s="10">
        <v>32.43</v>
      </c>
      <c r="H826" s="10"/>
      <c r="I826" s="10">
        <v>45.29</v>
      </c>
    </row>
    <row r="827" spans="1:9" s="3" customFormat="1" ht="21.75" customHeight="1">
      <c r="A827" s="8" t="s">
        <v>37</v>
      </c>
      <c r="B827" s="8" t="s">
        <v>39</v>
      </c>
      <c r="C827" s="9" t="str">
        <f t="shared" si="12"/>
        <v>230097</v>
      </c>
      <c r="D827" s="9" t="str">
        <f>"230914429"</f>
        <v>230914429</v>
      </c>
      <c r="E827" s="10">
        <v>53.3</v>
      </c>
      <c r="F827" s="10"/>
      <c r="G827" s="10">
        <v>39.49</v>
      </c>
      <c r="H827" s="10"/>
      <c r="I827" s="10">
        <v>45.01</v>
      </c>
    </row>
    <row r="828" spans="1:9" s="2" customFormat="1" ht="21.75" customHeight="1">
      <c r="A828" s="8" t="s">
        <v>37</v>
      </c>
      <c r="B828" s="8" t="s">
        <v>39</v>
      </c>
      <c r="C828" s="9" t="str">
        <f t="shared" si="12"/>
        <v>230097</v>
      </c>
      <c r="D828" s="9" t="str">
        <f>"230914205"</f>
        <v>230914205</v>
      </c>
      <c r="E828" s="10">
        <v>64.23</v>
      </c>
      <c r="F828" s="10"/>
      <c r="G828" s="10">
        <v>31.17</v>
      </c>
      <c r="H828" s="10"/>
      <c r="I828" s="10">
        <v>44.39</v>
      </c>
    </row>
    <row r="829" spans="1:9" s="3" customFormat="1" ht="21.75" customHeight="1">
      <c r="A829" s="8" t="s">
        <v>37</v>
      </c>
      <c r="B829" s="8" t="s">
        <v>39</v>
      </c>
      <c r="C829" s="9" t="str">
        <f t="shared" si="12"/>
        <v>230097</v>
      </c>
      <c r="D829" s="9" t="str">
        <f>"230913728"</f>
        <v>230913728</v>
      </c>
      <c r="E829" s="10">
        <v>51.39</v>
      </c>
      <c r="F829" s="10"/>
      <c r="G829" s="10">
        <v>38.770000000000003</v>
      </c>
      <c r="H829" s="10"/>
      <c r="I829" s="10">
        <v>43.82</v>
      </c>
    </row>
    <row r="830" spans="1:9" s="2" customFormat="1" ht="21.75" customHeight="1">
      <c r="A830" s="8" t="s">
        <v>37</v>
      </c>
      <c r="B830" s="8" t="s">
        <v>39</v>
      </c>
      <c r="C830" s="9" t="str">
        <f t="shared" si="12"/>
        <v>230097</v>
      </c>
      <c r="D830" s="9" t="str">
        <f>"230914130"</f>
        <v>230914130</v>
      </c>
      <c r="E830" s="10">
        <v>46.17</v>
      </c>
      <c r="F830" s="10"/>
      <c r="G830" s="10">
        <v>41.88</v>
      </c>
      <c r="H830" s="10"/>
      <c r="I830" s="10">
        <v>43.6</v>
      </c>
    </row>
    <row r="831" spans="1:9" s="2" customFormat="1" ht="21.75" customHeight="1">
      <c r="A831" s="8" t="s">
        <v>37</v>
      </c>
      <c r="B831" s="8" t="s">
        <v>39</v>
      </c>
      <c r="C831" s="9" t="str">
        <f t="shared" si="12"/>
        <v>230097</v>
      </c>
      <c r="D831" s="9" t="str">
        <f>"230912722"</f>
        <v>230912722</v>
      </c>
      <c r="E831" s="10">
        <v>44.74</v>
      </c>
      <c r="F831" s="10"/>
      <c r="G831" s="10">
        <v>42.8</v>
      </c>
      <c r="H831" s="10"/>
      <c r="I831" s="10">
        <v>43.58</v>
      </c>
    </row>
    <row r="832" spans="1:9" s="2" customFormat="1" ht="21.75" customHeight="1">
      <c r="A832" s="8" t="s">
        <v>37</v>
      </c>
      <c r="B832" s="8" t="s">
        <v>39</v>
      </c>
      <c r="C832" s="9" t="str">
        <f t="shared" si="12"/>
        <v>230097</v>
      </c>
      <c r="D832" s="9" t="str">
        <f>"230913227"</f>
        <v>230913227</v>
      </c>
      <c r="E832" s="10">
        <v>52.6</v>
      </c>
      <c r="F832" s="10"/>
      <c r="G832" s="10">
        <v>36.130000000000003</v>
      </c>
      <c r="H832" s="10"/>
      <c r="I832" s="10">
        <v>42.72</v>
      </c>
    </row>
    <row r="833" spans="1:9" s="3" customFormat="1" ht="21.75" customHeight="1">
      <c r="A833" s="8" t="s">
        <v>37</v>
      </c>
      <c r="B833" s="8" t="s">
        <v>39</v>
      </c>
      <c r="C833" s="9" t="str">
        <f t="shared" si="12"/>
        <v>230097</v>
      </c>
      <c r="D833" s="9" t="str">
        <f>"230913408"</f>
        <v>230913408</v>
      </c>
      <c r="E833" s="10">
        <v>54.93</v>
      </c>
      <c r="F833" s="10"/>
      <c r="G833" s="10">
        <v>34.119999999999997</v>
      </c>
      <c r="H833" s="10"/>
      <c r="I833" s="10">
        <v>42.44</v>
      </c>
    </row>
    <row r="834" spans="1:9" s="3" customFormat="1" ht="21.75" customHeight="1">
      <c r="A834" s="8" t="s">
        <v>37</v>
      </c>
      <c r="B834" s="8" t="s">
        <v>39</v>
      </c>
      <c r="C834" s="9" t="str">
        <f t="shared" si="12"/>
        <v>230097</v>
      </c>
      <c r="D834" s="9" t="str">
        <f>"230913317"</f>
        <v>230913317</v>
      </c>
      <c r="E834" s="10">
        <v>58.7</v>
      </c>
      <c r="F834" s="10"/>
      <c r="G834" s="10">
        <v>31.21</v>
      </c>
      <c r="H834" s="10"/>
      <c r="I834" s="10">
        <v>42.21</v>
      </c>
    </row>
    <row r="835" spans="1:9" s="3" customFormat="1" ht="21.75" customHeight="1">
      <c r="A835" s="8" t="s">
        <v>37</v>
      </c>
      <c r="B835" s="8" t="s">
        <v>39</v>
      </c>
      <c r="C835" s="9" t="str">
        <f t="shared" si="12"/>
        <v>230097</v>
      </c>
      <c r="D835" s="9" t="str">
        <f>"230913712"</f>
        <v>230913712</v>
      </c>
      <c r="E835" s="10">
        <v>56.52</v>
      </c>
      <c r="F835" s="10"/>
      <c r="G835" s="10">
        <v>32.67</v>
      </c>
      <c r="H835" s="10"/>
      <c r="I835" s="10">
        <v>42.21</v>
      </c>
    </row>
    <row r="836" spans="1:9" s="2" customFormat="1" ht="21.75" customHeight="1">
      <c r="A836" s="8" t="s">
        <v>37</v>
      </c>
      <c r="B836" s="8" t="s">
        <v>39</v>
      </c>
      <c r="C836" s="9" t="str">
        <f t="shared" si="12"/>
        <v>230097</v>
      </c>
      <c r="D836" s="9" t="str">
        <f>"230914114"</f>
        <v>230914114</v>
      </c>
      <c r="E836" s="10">
        <v>57.21</v>
      </c>
      <c r="F836" s="10"/>
      <c r="G836" s="10">
        <v>31.38</v>
      </c>
      <c r="H836" s="10"/>
      <c r="I836" s="10">
        <v>41.71</v>
      </c>
    </row>
    <row r="837" spans="1:9" s="2" customFormat="1" ht="21.75" customHeight="1">
      <c r="A837" s="8" t="s">
        <v>37</v>
      </c>
      <c r="B837" s="8" t="s">
        <v>39</v>
      </c>
      <c r="C837" s="9" t="str">
        <f t="shared" si="12"/>
        <v>230097</v>
      </c>
      <c r="D837" s="9" t="str">
        <f>"230912920"</f>
        <v>230912920</v>
      </c>
      <c r="E837" s="10">
        <v>51.35</v>
      </c>
      <c r="F837" s="10"/>
      <c r="G837" s="10">
        <v>34.520000000000003</v>
      </c>
      <c r="H837" s="10"/>
      <c r="I837" s="10">
        <v>41.25</v>
      </c>
    </row>
    <row r="838" spans="1:9" s="2" customFormat="1" ht="21.75" customHeight="1">
      <c r="A838" s="8" t="s">
        <v>37</v>
      </c>
      <c r="B838" s="8" t="s">
        <v>39</v>
      </c>
      <c r="C838" s="9" t="str">
        <f t="shared" ref="C838:C901" si="13">"230097"</f>
        <v>230097</v>
      </c>
      <c r="D838" s="9" t="str">
        <f>"230913127"</f>
        <v>230913127</v>
      </c>
      <c r="E838" s="10">
        <v>46.84</v>
      </c>
      <c r="F838" s="10"/>
      <c r="G838" s="10">
        <v>36.78</v>
      </c>
      <c r="H838" s="10"/>
      <c r="I838" s="10">
        <v>40.799999999999997</v>
      </c>
    </row>
    <row r="839" spans="1:9" s="2" customFormat="1" ht="21.75" customHeight="1">
      <c r="A839" s="8" t="s">
        <v>37</v>
      </c>
      <c r="B839" s="8" t="s">
        <v>39</v>
      </c>
      <c r="C839" s="9" t="str">
        <f t="shared" si="13"/>
        <v>230097</v>
      </c>
      <c r="D839" s="9" t="str">
        <f>"230914206"</f>
        <v>230914206</v>
      </c>
      <c r="E839" s="10">
        <v>45.37</v>
      </c>
      <c r="F839" s="10"/>
      <c r="G839" s="10">
        <v>36.78</v>
      </c>
      <c r="H839" s="10"/>
      <c r="I839" s="10">
        <v>40.22</v>
      </c>
    </row>
    <row r="840" spans="1:9" s="3" customFormat="1" ht="21.75" customHeight="1">
      <c r="A840" s="8" t="s">
        <v>37</v>
      </c>
      <c r="B840" s="8" t="s">
        <v>39</v>
      </c>
      <c r="C840" s="9" t="str">
        <f t="shared" si="13"/>
        <v>230097</v>
      </c>
      <c r="D840" s="9" t="str">
        <f>"230912530"</f>
        <v>230912530</v>
      </c>
      <c r="E840" s="10">
        <v>0</v>
      </c>
      <c r="F840" s="10"/>
      <c r="G840" s="10">
        <v>0</v>
      </c>
      <c r="H840" s="10"/>
      <c r="I840" s="10">
        <v>0</v>
      </c>
    </row>
    <row r="841" spans="1:9" s="2" customFormat="1" ht="21.75" customHeight="1">
      <c r="A841" s="8" t="s">
        <v>37</v>
      </c>
      <c r="B841" s="8" t="s">
        <v>39</v>
      </c>
      <c r="C841" s="9" t="str">
        <f t="shared" si="13"/>
        <v>230097</v>
      </c>
      <c r="D841" s="9" t="str">
        <f>"230912602"</f>
        <v>230912602</v>
      </c>
      <c r="E841" s="10">
        <v>0</v>
      </c>
      <c r="F841" s="10"/>
      <c r="G841" s="10">
        <v>0</v>
      </c>
      <c r="H841" s="10"/>
      <c r="I841" s="10">
        <v>0</v>
      </c>
    </row>
    <row r="842" spans="1:9" s="2" customFormat="1" ht="21.75" customHeight="1">
      <c r="A842" s="8" t="s">
        <v>37</v>
      </c>
      <c r="B842" s="8" t="s">
        <v>39</v>
      </c>
      <c r="C842" s="9" t="str">
        <f t="shared" si="13"/>
        <v>230097</v>
      </c>
      <c r="D842" s="9" t="str">
        <f>"230912607"</f>
        <v>230912607</v>
      </c>
      <c r="E842" s="10">
        <v>0</v>
      </c>
      <c r="F842" s="10"/>
      <c r="G842" s="10">
        <v>0</v>
      </c>
      <c r="H842" s="10"/>
      <c r="I842" s="10">
        <v>0</v>
      </c>
    </row>
    <row r="843" spans="1:9" s="3" customFormat="1" ht="21.75" customHeight="1">
      <c r="A843" s="8" t="s">
        <v>37</v>
      </c>
      <c r="B843" s="8" t="s">
        <v>39</v>
      </c>
      <c r="C843" s="9" t="str">
        <f t="shared" si="13"/>
        <v>230097</v>
      </c>
      <c r="D843" s="9" t="str">
        <f>"230912610"</f>
        <v>230912610</v>
      </c>
      <c r="E843" s="10">
        <v>0</v>
      </c>
      <c r="F843" s="10"/>
      <c r="G843" s="10">
        <v>0</v>
      </c>
      <c r="H843" s="10"/>
      <c r="I843" s="10">
        <v>0</v>
      </c>
    </row>
    <row r="844" spans="1:9" s="2" customFormat="1" ht="21.75" customHeight="1">
      <c r="A844" s="8" t="s">
        <v>37</v>
      </c>
      <c r="B844" s="8" t="s">
        <v>39</v>
      </c>
      <c r="C844" s="9" t="str">
        <f t="shared" si="13"/>
        <v>230097</v>
      </c>
      <c r="D844" s="9" t="str">
        <f>"230912614"</f>
        <v>230912614</v>
      </c>
      <c r="E844" s="10">
        <v>0</v>
      </c>
      <c r="F844" s="10"/>
      <c r="G844" s="10">
        <v>0</v>
      </c>
      <c r="H844" s="10"/>
      <c r="I844" s="10">
        <v>0</v>
      </c>
    </row>
    <row r="845" spans="1:9" s="2" customFormat="1" ht="21.75" customHeight="1">
      <c r="A845" s="8" t="s">
        <v>37</v>
      </c>
      <c r="B845" s="8" t="s">
        <v>39</v>
      </c>
      <c r="C845" s="9" t="str">
        <f t="shared" si="13"/>
        <v>230097</v>
      </c>
      <c r="D845" s="9" t="str">
        <f>"230912623"</f>
        <v>230912623</v>
      </c>
      <c r="E845" s="10">
        <v>0</v>
      </c>
      <c r="F845" s="10"/>
      <c r="G845" s="10">
        <v>0</v>
      </c>
      <c r="H845" s="10"/>
      <c r="I845" s="10">
        <v>0</v>
      </c>
    </row>
    <row r="846" spans="1:9" s="2" customFormat="1" ht="21.75" customHeight="1">
      <c r="A846" s="8" t="s">
        <v>37</v>
      </c>
      <c r="B846" s="8" t="s">
        <v>39</v>
      </c>
      <c r="C846" s="9" t="str">
        <f t="shared" si="13"/>
        <v>230097</v>
      </c>
      <c r="D846" s="9" t="str">
        <f>"230912625"</f>
        <v>230912625</v>
      </c>
      <c r="E846" s="10">
        <v>0</v>
      </c>
      <c r="F846" s="10"/>
      <c r="G846" s="10">
        <v>0</v>
      </c>
      <c r="H846" s="10"/>
      <c r="I846" s="10">
        <v>0</v>
      </c>
    </row>
    <row r="847" spans="1:9" s="2" customFormat="1" ht="21.75" customHeight="1">
      <c r="A847" s="8" t="s">
        <v>37</v>
      </c>
      <c r="B847" s="8" t="s">
        <v>39</v>
      </c>
      <c r="C847" s="9" t="str">
        <f t="shared" si="13"/>
        <v>230097</v>
      </c>
      <c r="D847" s="9" t="str">
        <f>"230912626"</f>
        <v>230912626</v>
      </c>
      <c r="E847" s="10">
        <v>0</v>
      </c>
      <c r="F847" s="10"/>
      <c r="G847" s="10">
        <v>0</v>
      </c>
      <c r="H847" s="10"/>
      <c r="I847" s="10">
        <v>0</v>
      </c>
    </row>
    <row r="848" spans="1:9" s="3" customFormat="1" ht="21.75" customHeight="1">
      <c r="A848" s="8" t="s">
        <v>37</v>
      </c>
      <c r="B848" s="8" t="s">
        <v>39</v>
      </c>
      <c r="C848" s="9" t="str">
        <f t="shared" si="13"/>
        <v>230097</v>
      </c>
      <c r="D848" s="9" t="str">
        <f>"230912701"</f>
        <v>230912701</v>
      </c>
      <c r="E848" s="10">
        <v>0</v>
      </c>
      <c r="F848" s="10"/>
      <c r="G848" s="10">
        <v>0</v>
      </c>
      <c r="H848" s="10"/>
      <c r="I848" s="10">
        <v>0</v>
      </c>
    </row>
    <row r="849" spans="1:9" s="2" customFormat="1" ht="21.75" customHeight="1">
      <c r="A849" s="8" t="s">
        <v>37</v>
      </c>
      <c r="B849" s="8" t="s">
        <v>39</v>
      </c>
      <c r="C849" s="9" t="str">
        <f t="shared" si="13"/>
        <v>230097</v>
      </c>
      <c r="D849" s="9" t="str">
        <f>"230912702"</f>
        <v>230912702</v>
      </c>
      <c r="E849" s="10">
        <v>0</v>
      </c>
      <c r="F849" s="10"/>
      <c r="G849" s="10">
        <v>0</v>
      </c>
      <c r="H849" s="10"/>
      <c r="I849" s="10">
        <v>0</v>
      </c>
    </row>
    <row r="850" spans="1:9" s="2" customFormat="1" ht="21.75" customHeight="1">
      <c r="A850" s="8" t="s">
        <v>37</v>
      </c>
      <c r="B850" s="8" t="s">
        <v>39</v>
      </c>
      <c r="C850" s="9" t="str">
        <f t="shared" si="13"/>
        <v>230097</v>
      </c>
      <c r="D850" s="9" t="str">
        <f>"230912713"</f>
        <v>230912713</v>
      </c>
      <c r="E850" s="10">
        <v>0</v>
      </c>
      <c r="F850" s="10"/>
      <c r="G850" s="10">
        <v>0</v>
      </c>
      <c r="H850" s="10"/>
      <c r="I850" s="10">
        <v>0</v>
      </c>
    </row>
    <row r="851" spans="1:9" s="2" customFormat="1" ht="21.75" customHeight="1">
      <c r="A851" s="8" t="s">
        <v>37</v>
      </c>
      <c r="B851" s="8" t="s">
        <v>39</v>
      </c>
      <c r="C851" s="9" t="str">
        <f t="shared" si="13"/>
        <v>230097</v>
      </c>
      <c r="D851" s="9" t="str">
        <f>"230912718"</f>
        <v>230912718</v>
      </c>
      <c r="E851" s="10">
        <v>0</v>
      </c>
      <c r="F851" s="10"/>
      <c r="G851" s="10">
        <v>0</v>
      </c>
      <c r="H851" s="10"/>
      <c r="I851" s="10">
        <v>0</v>
      </c>
    </row>
    <row r="852" spans="1:9" s="2" customFormat="1" ht="21.75" customHeight="1">
      <c r="A852" s="8" t="s">
        <v>37</v>
      </c>
      <c r="B852" s="8" t="s">
        <v>39</v>
      </c>
      <c r="C852" s="9" t="str">
        <f t="shared" si="13"/>
        <v>230097</v>
      </c>
      <c r="D852" s="9" t="str">
        <f>"230912721"</f>
        <v>230912721</v>
      </c>
      <c r="E852" s="10">
        <v>0</v>
      </c>
      <c r="F852" s="10"/>
      <c r="G852" s="10">
        <v>0</v>
      </c>
      <c r="H852" s="10"/>
      <c r="I852" s="10">
        <v>0</v>
      </c>
    </row>
    <row r="853" spans="1:9" s="3" customFormat="1" ht="21.75" customHeight="1">
      <c r="A853" s="8" t="s">
        <v>37</v>
      </c>
      <c r="B853" s="8" t="s">
        <v>39</v>
      </c>
      <c r="C853" s="9" t="str">
        <f t="shared" si="13"/>
        <v>230097</v>
      </c>
      <c r="D853" s="9" t="str">
        <f>"230912723"</f>
        <v>230912723</v>
      </c>
      <c r="E853" s="10">
        <v>0</v>
      </c>
      <c r="F853" s="10"/>
      <c r="G853" s="10">
        <v>0</v>
      </c>
      <c r="H853" s="10"/>
      <c r="I853" s="10">
        <v>0</v>
      </c>
    </row>
    <row r="854" spans="1:9" s="3" customFormat="1" ht="21.75" customHeight="1">
      <c r="A854" s="8" t="s">
        <v>37</v>
      </c>
      <c r="B854" s="8" t="s">
        <v>39</v>
      </c>
      <c r="C854" s="9" t="str">
        <f t="shared" si="13"/>
        <v>230097</v>
      </c>
      <c r="D854" s="9" t="str">
        <f>"230912725"</f>
        <v>230912725</v>
      </c>
      <c r="E854" s="10">
        <v>0</v>
      </c>
      <c r="F854" s="10"/>
      <c r="G854" s="10">
        <v>0</v>
      </c>
      <c r="H854" s="10"/>
      <c r="I854" s="10">
        <v>0</v>
      </c>
    </row>
    <row r="855" spans="1:9" s="2" customFormat="1" ht="21.75" customHeight="1">
      <c r="A855" s="8" t="s">
        <v>37</v>
      </c>
      <c r="B855" s="8" t="s">
        <v>39</v>
      </c>
      <c r="C855" s="9" t="str">
        <f t="shared" si="13"/>
        <v>230097</v>
      </c>
      <c r="D855" s="9" t="str">
        <f>"230912801"</f>
        <v>230912801</v>
      </c>
      <c r="E855" s="10">
        <v>0</v>
      </c>
      <c r="F855" s="10"/>
      <c r="G855" s="10">
        <v>0</v>
      </c>
      <c r="H855" s="10"/>
      <c r="I855" s="10">
        <v>0</v>
      </c>
    </row>
    <row r="856" spans="1:9" s="3" customFormat="1" ht="21.75" customHeight="1">
      <c r="A856" s="8" t="s">
        <v>37</v>
      </c>
      <c r="B856" s="8" t="s">
        <v>39</v>
      </c>
      <c r="C856" s="9" t="str">
        <f t="shared" si="13"/>
        <v>230097</v>
      </c>
      <c r="D856" s="9" t="str">
        <f>"230912803"</f>
        <v>230912803</v>
      </c>
      <c r="E856" s="10">
        <v>0</v>
      </c>
      <c r="F856" s="10"/>
      <c r="G856" s="10">
        <v>0</v>
      </c>
      <c r="H856" s="10"/>
      <c r="I856" s="10">
        <v>0</v>
      </c>
    </row>
    <row r="857" spans="1:9" s="2" customFormat="1" ht="21.75" customHeight="1">
      <c r="A857" s="8" t="s">
        <v>37</v>
      </c>
      <c r="B857" s="8" t="s">
        <v>39</v>
      </c>
      <c r="C857" s="9" t="str">
        <f t="shared" si="13"/>
        <v>230097</v>
      </c>
      <c r="D857" s="9" t="str">
        <f>"230912804"</f>
        <v>230912804</v>
      </c>
      <c r="E857" s="10">
        <v>0</v>
      </c>
      <c r="F857" s="10"/>
      <c r="G857" s="10">
        <v>0</v>
      </c>
      <c r="H857" s="10"/>
      <c r="I857" s="10">
        <v>0</v>
      </c>
    </row>
    <row r="858" spans="1:9" s="2" customFormat="1" ht="21.75" customHeight="1">
      <c r="A858" s="8" t="s">
        <v>37</v>
      </c>
      <c r="B858" s="8" t="s">
        <v>39</v>
      </c>
      <c r="C858" s="9" t="str">
        <f t="shared" si="13"/>
        <v>230097</v>
      </c>
      <c r="D858" s="9" t="str">
        <f>"230912805"</f>
        <v>230912805</v>
      </c>
      <c r="E858" s="10">
        <v>0</v>
      </c>
      <c r="F858" s="10"/>
      <c r="G858" s="10">
        <v>0</v>
      </c>
      <c r="H858" s="10"/>
      <c r="I858" s="10">
        <v>0</v>
      </c>
    </row>
    <row r="859" spans="1:9" s="2" customFormat="1" ht="21.75" customHeight="1">
      <c r="A859" s="8" t="s">
        <v>37</v>
      </c>
      <c r="B859" s="8" t="s">
        <v>39</v>
      </c>
      <c r="C859" s="9" t="str">
        <f t="shared" si="13"/>
        <v>230097</v>
      </c>
      <c r="D859" s="9" t="str">
        <f>"230912811"</f>
        <v>230912811</v>
      </c>
      <c r="E859" s="10">
        <v>0</v>
      </c>
      <c r="F859" s="10"/>
      <c r="G859" s="10">
        <v>0</v>
      </c>
      <c r="H859" s="10"/>
      <c r="I859" s="10">
        <v>0</v>
      </c>
    </row>
    <row r="860" spans="1:9" s="2" customFormat="1" ht="21.75" customHeight="1">
      <c r="A860" s="8" t="s">
        <v>37</v>
      </c>
      <c r="B860" s="8" t="s">
        <v>39</v>
      </c>
      <c r="C860" s="9" t="str">
        <f t="shared" si="13"/>
        <v>230097</v>
      </c>
      <c r="D860" s="9" t="str">
        <f>"230912821"</f>
        <v>230912821</v>
      </c>
      <c r="E860" s="10">
        <v>0</v>
      </c>
      <c r="F860" s="10"/>
      <c r="G860" s="10">
        <v>0</v>
      </c>
      <c r="H860" s="10"/>
      <c r="I860" s="10">
        <v>0</v>
      </c>
    </row>
    <row r="861" spans="1:9" s="2" customFormat="1" ht="21.75" customHeight="1">
      <c r="A861" s="8" t="s">
        <v>37</v>
      </c>
      <c r="B861" s="8" t="s">
        <v>39</v>
      </c>
      <c r="C861" s="9" t="str">
        <f t="shared" si="13"/>
        <v>230097</v>
      </c>
      <c r="D861" s="9" t="str">
        <f>"230912822"</f>
        <v>230912822</v>
      </c>
      <c r="E861" s="10">
        <v>0</v>
      </c>
      <c r="F861" s="10"/>
      <c r="G861" s="10">
        <v>0</v>
      </c>
      <c r="H861" s="10"/>
      <c r="I861" s="10">
        <v>0</v>
      </c>
    </row>
    <row r="862" spans="1:9" s="2" customFormat="1" ht="21.75" customHeight="1">
      <c r="A862" s="8" t="s">
        <v>37</v>
      </c>
      <c r="B862" s="8" t="s">
        <v>39</v>
      </c>
      <c r="C862" s="9" t="str">
        <f t="shared" si="13"/>
        <v>230097</v>
      </c>
      <c r="D862" s="9" t="str">
        <f>"230912829"</f>
        <v>230912829</v>
      </c>
      <c r="E862" s="10">
        <v>0</v>
      </c>
      <c r="F862" s="10"/>
      <c r="G862" s="10">
        <v>0</v>
      </c>
      <c r="H862" s="10"/>
      <c r="I862" s="10">
        <v>0</v>
      </c>
    </row>
    <row r="863" spans="1:9" s="3" customFormat="1" ht="21.75" customHeight="1">
      <c r="A863" s="8" t="s">
        <v>37</v>
      </c>
      <c r="B863" s="8" t="s">
        <v>39</v>
      </c>
      <c r="C863" s="9" t="str">
        <f t="shared" si="13"/>
        <v>230097</v>
      </c>
      <c r="D863" s="9" t="str">
        <f>"230912901"</f>
        <v>230912901</v>
      </c>
      <c r="E863" s="10">
        <v>0</v>
      </c>
      <c r="F863" s="10"/>
      <c r="G863" s="10">
        <v>0</v>
      </c>
      <c r="H863" s="10"/>
      <c r="I863" s="10">
        <v>0</v>
      </c>
    </row>
    <row r="864" spans="1:9" s="3" customFormat="1" ht="21.75" customHeight="1">
      <c r="A864" s="8" t="s">
        <v>37</v>
      </c>
      <c r="B864" s="8" t="s">
        <v>39</v>
      </c>
      <c r="C864" s="9" t="str">
        <f t="shared" si="13"/>
        <v>230097</v>
      </c>
      <c r="D864" s="9" t="str">
        <f>"230912905"</f>
        <v>230912905</v>
      </c>
      <c r="E864" s="10">
        <v>0</v>
      </c>
      <c r="F864" s="10"/>
      <c r="G864" s="10">
        <v>0</v>
      </c>
      <c r="H864" s="10"/>
      <c r="I864" s="10">
        <v>0</v>
      </c>
    </row>
    <row r="865" spans="1:9" s="3" customFormat="1" ht="21.75" customHeight="1">
      <c r="A865" s="8" t="s">
        <v>37</v>
      </c>
      <c r="B865" s="8" t="s">
        <v>39</v>
      </c>
      <c r="C865" s="9" t="str">
        <f t="shared" si="13"/>
        <v>230097</v>
      </c>
      <c r="D865" s="9" t="str">
        <f>"230912911"</f>
        <v>230912911</v>
      </c>
      <c r="E865" s="10">
        <v>0</v>
      </c>
      <c r="F865" s="10"/>
      <c r="G865" s="10">
        <v>0</v>
      </c>
      <c r="H865" s="10"/>
      <c r="I865" s="10">
        <v>0</v>
      </c>
    </row>
    <row r="866" spans="1:9" s="2" customFormat="1" ht="21.75" customHeight="1">
      <c r="A866" s="8" t="s">
        <v>37</v>
      </c>
      <c r="B866" s="8" t="s">
        <v>39</v>
      </c>
      <c r="C866" s="9" t="str">
        <f t="shared" si="13"/>
        <v>230097</v>
      </c>
      <c r="D866" s="9" t="str">
        <f>"230912913"</f>
        <v>230912913</v>
      </c>
      <c r="E866" s="10">
        <v>0</v>
      </c>
      <c r="F866" s="10"/>
      <c r="G866" s="10">
        <v>0</v>
      </c>
      <c r="H866" s="10"/>
      <c r="I866" s="10">
        <v>0</v>
      </c>
    </row>
    <row r="867" spans="1:9" s="3" customFormat="1" ht="21.75" customHeight="1">
      <c r="A867" s="8" t="s">
        <v>37</v>
      </c>
      <c r="B867" s="8" t="s">
        <v>39</v>
      </c>
      <c r="C867" s="9" t="str">
        <f t="shared" si="13"/>
        <v>230097</v>
      </c>
      <c r="D867" s="9" t="str">
        <f>"230912914"</f>
        <v>230912914</v>
      </c>
      <c r="E867" s="10">
        <v>0</v>
      </c>
      <c r="F867" s="10"/>
      <c r="G867" s="10">
        <v>0</v>
      </c>
      <c r="H867" s="10"/>
      <c r="I867" s="10">
        <v>0</v>
      </c>
    </row>
    <row r="868" spans="1:9" s="2" customFormat="1" ht="21.75" customHeight="1">
      <c r="A868" s="8" t="s">
        <v>37</v>
      </c>
      <c r="B868" s="8" t="s">
        <v>39</v>
      </c>
      <c r="C868" s="9" t="str">
        <f t="shared" si="13"/>
        <v>230097</v>
      </c>
      <c r="D868" s="9" t="str">
        <f>"230912919"</f>
        <v>230912919</v>
      </c>
      <c r="E868" s="10">
        <v>0</v>
      </c>
      <c r="F868" s="10"/>
      <c r="G868" s="10">
        <v>0</v>
      </c>
      <c r="H868" s="10"/>
      <c r="I868" s="10">
        <v>0</v>
      </c>
    </row>
    <row r="869" spans="1:9" s="2" customFormat="1" ht="21.75" customHeight="1">
      <c r="A869" s="8" t="s">
        <v>37</v>
      </c>
      <c r="B869" s="8" t="s">
        <v>39</v>
      </c>
      <c r="C869" s="9" t="str">
        <f t="shared" si="13"/>
        <v>230097</v>
      </c>
      <c r="D869" s="9" t="str">
        <f>"230912921"</f>
        <v>230912921</v>
      </c>
      <c r="E869" s="10">
        <v>0</v>
      </c>
      <c r="F869" s="10"/>
      <c r="G869" s="10">
        <v>0</v>
      </c>
      <c r="H869" s="10"/>
      <c r="I869" s="10">
        <v>0</v>
      </c>
    </row>
    <row r="870" spans="1:9" s="2" customFormat="1" ht="21.75" customHeight="1">
      <c r="A870" s="8" t="s">
        <v>37</v>
      </c>
      <c r="B870" s="8" t="s">
        <v>39</v>
      </c>
      <c r="C870" s="9" t="str">
        <f t="shared" si="13"/>
        <v>230097</v>
      </c>
      <c r="D870" s="9" t="str">
        <f>"230912923"</f>
        <v>230912923</v>
      </c>
      <c r="E870" s="10">
        <v>0</v>
      </c>
      <c r="F870" s="10"/>
      <c r="G870" s="10">
        <v>0</v>
      </c>
      <c r="H870" s="10"/>
      <c r="I870" s="10">
        <v>0</v>
      </c>
    </row>
    <row r="871" spans="1:9" s="3" customFormat="1" ht="21.75" customHeight="1">
      <c r="A871" s="8" t="s">
        <v>37</v>
      </c>
      <c r="B871" s="8" t="s">
        <v>39</v>
      </c>
      <c r="C871" s="9" t="str">
        <f t="shared" si="13"/>
        <v>230097</v>
      </c>
      <c r="D871" s="9" t="str">
        <f>"230912925"</f>
        <v>230912925</v>
      </c>
      <c r="E871" s="10">
        <v>0</v>
      </c>
      <c r="F871" s="10"/>
      <c r="G871" s="10">
        <v>0</v>
      </c>
      <c r="H871" s="10"/>
      <c r="I871" s="10">
        <v>0</v>
      </c>
    </row>
    <row r="872" spans="1:9" s="3" customFormat="1" ht="21.75" customHeight="1">
      <c r="A872" s="8" t="s">
        <v>37</v>
      </c>
      <c r="B872" s="8" t="s">
        <v>39</v>
      </c>
      <c r="C872" s="9" t="str">
        <f t="shared" si="13"/>
        <v>230097</v>
      </c>
      <c r="D872" s="9" t="str">
        <f>"230912926"</f>
        <v>230912926</v>
      </c>
      <c r="E872" s="10">
        <v>0</v>
      </c>
      <c r="F872" s="10"/>
      <c r="G872" s="10">
        <v>0</v>
      </c>
      <c r="H872" s="10"/>
      <c r="I872" s="10">
        <v>0</v>
      </c>
    </row>
    <row r="873" spans="1:9" s="3" customFormat="1" ht="21.75" customHeight="1">
      <c r="A873" s="8" t="s">
        <v>37</v>
      </c>
      <c r="B873" s="8" t="s">
        <v>39</v>
      </c>
      <c r="C873" s="9" t="str">
        <f t="shared" si="13"/>
        <v>230097</v>
      </c>
      <c r="D873" s="9" t="str">
        <f>"230912928"</f>
        <v>230912928</v>
      </c>
      <c r="E873" s="10">
        <v>0</v>
      </c>
      <c r="F873" s="10"/>
      <c r="G873" s="10">
        <v>0</v>
      </c>
      <c r="H873" s="10"/>
      <c r="I873" s="10">
        <v>0</v>
      </c>
    </row>
    <row r="874" spans="1:9" s="2" customFormat="1" ht="21.75" customHeight="1">
      <c r="A874" s="8" t="s">
        <v>37</v>
      </c>
      <c r="B874" s="8" t="s">
        <v>39</v>
      </c>
      <c r="C874" s="9" t="str">
        <f t="shared" si="13"/>
        <v>230097</v>
      </c>
      <c r="D874" s="9" t="str">
        <f>"230913001"</f>
        <v>230913001</v>
      </c>
      <c r="E874" s="10">
        <v>0</v>
      </c>
      <c r="F874" s="10"/>
      <c r="G874" s="10">
        <v>0</v>
      </c>
      <c r="H874" s="10"/>
      <c r="I874" s="10">
        <v>0</v>
      </c>
    </row>
    <row r="875" spans="1:9" s="2" customFormat="1" ht="21.75" customHeight="1">
      <c r="A875" s="8" t="s">
        <v>37</v>
      </c>
      <c r="B875" s="8" t="s">
        <v>39</v>
      </c>
      <c r="C875" s="9" t="str">
        <f t="shared" si="13"/>
        <v>230097</v>
      </c>
      <c r="D875" s="9" t="str">
        <f>"230913004"</f>
        <v>230913004</v>
      </c>
      <c r="E875" s="10">
        <v>0</v>
      </c>
      <c r="F875" s="10"/>
      <c r="G875" s="10">
        <v>0</v>
      </c>
      <c r="H875" s="10"/>
      <c r="I875" s="10">
        <v>0</v>
      </c>
    </row>
    <row r="876" spans="1:9" s="3" customFormat="1" ht="21.75" customHeight="1">
      <c r="A876" s="8" t="s">
        <v>37</v>
      </c>
      <c r="B876" s="8" t="s">
        <v>39</v>
      </c>
      <c r="C876" s="9" t="str">
        <f t="shared" si="13"/>
        <v>230097</v>
      </c>
      <c r="D876" s="9" t="str">
        <f>"230913010"</f>
        <v>230913010</v>
      </c>
      <c r="E876" s="10">
        <v>0</v>
      </c>
      <c r="F876" s="10"/>
      <c r="G876" s="10">
        <v>0</v>
      </c>
      <c r="H876" s="10"/>
      <c r="I876" s="10">
        <v>0</v>
      </c>
    </row>
    <row r="877" spans="1:9" s="3" customFormat="1" ht="21.75" customHeight="1">
      <c r="A877" s="8" t="s">
        <v>37</v>
      </c>
      <c r="B877" s="8" t="s">
        <v>39</v>
      </c>
      <c r="C877" s="9" t="str">
        <f t="shared" si="13"/>
        <v>230097</v>
      </c>
      <c r="D877" s="9" t="str">
        <f>"230913011"</f>
        <v>230913011</v>
      </c>
      <c r="E877" s="10">
        <v>0</v>
      </c>
      <c r="F877" s="10"/>
      <c r="G877" s="10">
        <v>0</v>
      </c>
      <c r="H877" s="10"/>
      <c r="I877" s="10">
        <v>0</v>
      </c>
    </row>
    <row r="878" spans="1:9" s="2" customFormat="1" ht="21.75" customHeight="1">
      <c r="A878" s="8" t="s">
        <v>37</v>
      </c>
      <c r="B878" s="8" t="s">
        <v>39</v>
      </c>
      <c r="C878" s="9" t="str">
        <f t="shared" si="13"/>
        <v>230097</v>
      </c>
      <c r="D878" s="9" t="str">
        <f>"230913018"</f>
        <v>230913018</v>
      </c>
      <c r="E878" s="10">
        <v>0</v>
      </c>
      <c r="F878" s="10"/>
      <c r="G878" s="10">
        <v>0</v>
      </c>
      <c r="H878" s="10"/>
      <c r="I878" s="10">
        <v>0</v>
      </c>
    </row>
    <row r="879" spans="1:9" s="2" customFormat="1" ht="21.75" customHeight="1">
      <c r="A879" s="8" t="s">
        <v>37</v>
      </c>
      <c r="B879" s="8" t="s">
        <v>39</v>
      </c>
      <c r="C879" s="9" t="str">
        <f t="shared" si="13"/>
        <v>230097</v>
      </c>
      <c r="D879" s="9" t="str">
        <f>"230913020"</f>
        <v>230913020</v>
      </c>
      <c r="E879" s="10">
        <v>0</v>
      </c>
      <c r="F879" s="10"/>
      <c r="G879" s="10">
        <v>0</v>
      </c>
      <c r="H879" s="10"/>
      <c r="I879" s="10">
        <v>0</v>
      </c>
    </row>
    <row r="880" spans="1:9" s="2" customFormat="1" ht="21.75" customHeight="1">
      <c r="A880" s="8" t="s">
        <v>37</v>
      </c>
      <c r="B880" s="8" t="s">
        <v>39</v>
      </c>
      <c r="C880" s="9" t="str">
        <f t="shared" si="13"/>
        <v>230097</v>
      </c>
      <c r="D880" s="9" t="str">
        <f>"230913024"</f>
        <v>230913024</v>
      </c>
      <c r="E880" s="10">
        <v>0</v>
      </c>
      <c r="F880" s="10"/>
      <c r="G880" s="10">
        <v>0</v>
      </c>
      <c r="H880" s="10"/>
      <c r="I880" s="10">
        <v>0</v>
      </c>
    </row>
    <row r="881" spans="1:9" s="2" customFormat="1" ht="21.75" customHeight="1">
      <c r="A881" s="8" t="s">
        <v>37</v>
      </c>
      <c r="B881" s="8" t="s">
        <v>39</v>
      </c>
      <c r="C881" s="9" t="str">
        <f t="shared" si="13"/>
        <v>230097</v>
      </c>
      <c r="D881" s="9" t="str">
        <f>"230913025"</f>
        <v>230913025</v>
      </c>
      <c r="E881" s="10">
        <v>0</v>
      </c>
      <c r="F881" s="10"/>
      <c r="G881" s="10">
        <v>0</v>
      </c>
      <c r="H881" s="10"/>
      <c r="I881" s="10">
        <v>0</v>
      </c>
    </row>
    <row r="882" spans="1:9" s="2" customFormat="1" ht="21.75" customHeight="1">
      <c r="A882" s="8" t="s">
        <v>37</v>
      </c>
      <c r="B882" s="8" t="s">
        <v>39</v>
      </c>
      <c r="C882" s="9" t="str">
        <f t="shared" si="13"/>
        <v>230097</v>
      </c>
      <c r="D882" s="9" t="str">
        <f>"230913101"</f>
        <v>230913101</v>
      </c>
      <c r="E882" s="10">
        <v>0</v>
      </c>
      <c r="F882" s="10"/>
      <c r="G882" s="10">
        <v>0</v>
      </c>
      <c r="H882" s="10"/>
      <c r="I882" s="10">
        <v>0</v>
      </c>
    </row>
    <row r="883" spans="1:9" s="2" customFormat="1" ht="21.75" customHeight="1">
      <c r="A883" s="8" t="s">
        <v>37</v>
      </c>
      <c r="B883" s="8" t="s">
        <v>39</v>
      </c>
      <c r="C883" s="9" t="str">
        <f t="shared" si="13"/>
        <v>230097</v>
      </c>
      <c r="D883" s="9" t="str">
        <f>"230913103"</f>
        <v>230913103</v>
      </c>
      <c r="E883" s="10">
        <v>0</v>
      </c>
      <c r="F883" s="10"/>
      <c r="G883" s="10">
        <v>0</v>
      </c>
      <c r="H883" s="10"/>
      <c r="I883" s="10">
        <v>0</v>
      </c>
    </row>
    <row r="884" spans="1:9" s="2" customFormat="1" ht="21.75" customHeight="1">
      <c r="A884" s="8" t="s">
        <v>37</v>
      </c>
      <c r="B884" s="8" t="s">
        <v>39</v>
      </c>
      <c r="C884" s="9" t="str">
        <f t="shared" si="13"/>
        <v>230097</v>
      </c>
      <c r="D884" s="9" t="str">
        <f>"230913105"</f>
        <v>230913105</v>
      </c>
      <c r="E884" s="10">
        <v>0</v>
      </c>
      <c r="F884" s="10"/>
      <c r="G884" s="10">
        <v>0</v>
      </c>
      <c r="H884" s="10"/>
      <c r="I884" s="10">
        <v>0</v>
      </c>
    </row>
    <row r="885" spans="1:9" s="2" customFormat="1" ht="21.75" customHeight="1">
      <c r="A885" s="8" t="s">
        <v>37</v>
      </c>
      <c r="B885" s="8" t="s">
        <v>39</v>
      </c>
      <c r="C885" s="9" t="str">
        <f t="shared" si="13"/>
        <v>230097</v>
      </c>
      <c r="D885" s="9" t="str">
        <f>"230913111"</f>
        <v>230913111</v>
      </c>
      <c r="E885" s="10">
        <v>0</v>
      </c>
      <c r="F885" s="10"/>
      <c r="G885" s="10">
        <v>0</v>
      </c>
      <c r="H885" s="10"/>
      <c r="I885" s="10">
        <v>0</v>
      </c>
    </row>
    <row r="886" spans="1:9" s="3" customFormat="1" ht="21.75" customHeight="1">
      <c r="A886" s="8" t="s">
        <v>37</v>
      </c>
      <c r="B886" s="8" t="s">
        <v>39</v>
      </c>
      <c r="C886" s="9" t="str">
        <f t="shared" si="13"/>
        <v>230097</v>
      </c>
      <c r="D886" s="9" t="str">
        <f>"230913114"</f>
        <v>230913114</v>
      </c>
      <c r="E886" s="10">
        <v>0</v>
      </c>
      <c r="F886" s="10"/>
      <c r="G886" s="10">
        <v>0</v>
      </c>
      <c r="H886" s="10"/>
      <c r="I886" s="10">
        <v>0</v>
      </c>
    </row>
    <row r="887" spans="1:9" s="3" customFormat="1" ht="21.75" customHeight="1">
      <c r="A887" s="8" t="s">
        <v>37</v>
      </c>
      <c r="B887" s="8" t="s">
        <v>39</v>
      </c>
      <c r="C887" s="9" t="str">
        <f t="shared" si="13"/>
        <v>230097</v>
      </c>
      <c r="D887" s="9" t="str">
        <f>"230913122"</f>
        <v>230913122</v>
      </c>
      <c r="E887" s="10">
        <v>0</v>
      </c>
      <c r="F887" s="10"/>
      <c r="G887" s="10">
        <v>0</v>
      </c>
      <c r="H887" s="10"/>
      <c r="I887" s="10">
        <v>0</v>
      </c>
    </row>
    <row r="888" spans="1:9" s="2" customFormat="1" ht="21.75" customHeight="1">
      <c r="A888" s="8" t="s">
        <v>37</v>
      </c>
      <c r="B888" s="8" t="s">
        <v>39</v>
      </c>
      <c r="C888" s="9" t="str">
        <f t="shared" si="13"/>
        <v>230097</v>
      </c>
      <c r="D888" s="9" t="str">
        <f>"230913125"</f>
        <v>230913125</v>
      </c>
      <c r="E888" s="10">
        <v>0</v>
      </c>
      <c r="F888" s="10"/>
      <c r="G888" s="10">
        <v>0</v>
      </c>
      <c r="H888" s="10"/>
      <c r="I888" s="10">
        <v>0</v>
      </c>
    </row>
    <row r="889" spans="1:9" s="2" customFormat="1" ht="21.75" customHeight="1">
      <c r="A889" s="8" t="s">
        <v>37</v>
      </c>
      <c r="B889" s="8" t="s">
        <v>39</v>
      </c>
      <c r="C889" s="9" t="str">
        <f t="shared" si="13"/>
        <v>230097</v>
      </c>
      <c r="D889" s="9" t="str">
        <f>"230913129"</f>
        <v>230913129</v>
      </c>
      <c r="E889" s="10">
        <v>0</v>
      </c>
      <c r="F889" s="10"/>
      <c r="G889" s="10">
        <v>0</v>
      </c>
      <c r="H889" s="10"/>
      <c r="I889" s="10">
        <v>0</v>
      </c>
    </row>
    <row r="890" spans="1:9" s="2" customFormat="1" ht="21.75" customHeight="1">
      <c r="A890" s="8" t="s">
        <v>37</v>
      </c>
      <c r="B890" s="8" t="s">
        <v>39</v>
      </c>
      <c r="C890" s="9" t="str">
        <f t="shared" si="13"/>
        <v>230097</v>
      </c>
      <c r="D890" s="9" t="str">
        <f>"230913203"</f>
        <v>230913203</v>
      </c>
      <c r="E890" s="10">
        <v>0</v>
      </c>
      <c r="F890" s="10"/>
      <c r="G890" s="10">
        <v>0</v>
      </c>
      <c r="H890" s="10"/>
      <c r="I890" s="10">
        <v>0</v>
      </c>
    </row>
    <row r="891" spans="1:9" s="2" customFormat="1" ht="21.75" customHeight="1">
      <c r="A891" s="8" t="s">
        <v>37</v>
      </c>
      <c r="B891" s="8" t="s">
        <v>39</v>
      </c>
      <c r="C891" s="9" t="str">
        <f t="shared" si="13"/>
        <v>230097</v>
      </c>
      <c r="D891" s="9" t="str">
        <f>"230913209"</f>
        <v>230913209</v>
      </c>
      <c r="E891" s="10">
        <v>0</v>
      </c>
      <c r="F891" s="10"/>
      <c r="G891" s="10">
        <v>0</v>
      </c>
      <c r="H891" s="10"/>
      <c r="I891" s="10">
        <v>0</v>
      </c>
    </row>
    <row r="892" spans="1:9" s="2" customFormat="1" ht="21.75" customHeight="1">
      <c r="A892" s="8" t="s">
        <v>37</v>
      </c>
      <c r="B892" s="8" t="s">
        <v>39</v>
      </c>
      <c r="C892" s="9" t="str">
        <f t="shared" si="13"/>
        <v>230097</v>
      </c>
      <c r="D892" s="9" t="str">
        <f>"230913220"</f>
        <v>230913220</v>
      </c>
      <c r="E892" s="10">
        <v>0</v>
      </c>
      <c r="F892" s="10"/>
      <c r="G892" s="10">
        <v>0</v>
      </c>
      <c r="H892" s="10"/>
      <c r="I892" s="10">
        <v>0</v>
      </c>
    </row>
    <row r="893" spans="1:9" s="2" customFormat="1" ht="21.75" customHeight="1">
      <c r="A893" s="8" t="s">
        <v>37</v>
      </c>
      <c r="B893" s="8" t="s">
        <v>39</v>
      </c>
      <c r="C893" s="9" t="str">
        <f t="shared" si="13"/>
        <v>230097</v>
      </c>
      <c r="D893" s="9" t="str">
        <f>"230913221"</f>
        <v>230913221</v>
      </c>
      <c r="E893" s="10">
        <v>0</v>
      </c>
      <c r="F893" s="10"/>
      <c r="G893" s="10">
        <v>0</v>
      </c>
      <c r="H893" s="10"/>
      <c r="I893" s="10">
        <v>0</v>
      </c>
    </row>
    <row r="894" spans="1:9" s="3" customFormat="1" ht="21.75" customHeight="1">
      <c r="A894" s="8" t="s">
        <v>37</v>
      </c>
      <c r="B894" s="8" t="s">
        <v>39</v>
      </c>
      <c r="C894" s="9" t="str">
        <f t="shared" si="13"/>
        <v>230097</v>
      </c>
      <c r="D894" s="9" t="str">
        <f>"230913223"</f>
        <v>230913223</v>
      </c>
      <c r="E894" s="10">
        <v>0</v>
      </c>
      <c r="F894" s="10"/>
      <c r="G894" s="10">
        <v>0</v>
      </c>
      <c r="H894" s="10"/>
      <c r="I894" s="10">
        <v>0</v>
      </c>
    </row>
    <row r="895" spans="1:9" s="2" customFormat="1" ht="21.75" customHeight="1">
      <c r="A895" s="8" t="s">
        <v>37</v>
      </c>
      <c r="B895" s="8" t="s">
        <v>39</v>
      </c>
      <c r="C895" s="9" t="str">
        <f t="shared" si="13"/>
        <v>230097</v>
      </c>
      <c r="D895" s="9" t="str">
        <f>"230913226"</f>
        <v>230913226</v>
      </c>
      <c r="E895" s="10">
        <v>0</v>
      </c>
      <c r="F895" s="10"/>
      <c r="G895" s="10">
        <v>0</v>
      </c>
      <c r="H895" s="10"/>
      <c r="I895" s="10">
        <v>0</v>
      </c>
    </row>
    <row r="896" spans="1:9" s="2" customFormat="1" ht="21.75" customHeight="1">
      <c r="A896" s="8" t="s">
        <v>37</v>
      </c>
      <c r="B896" s="8" t="s">
        <v>39</v>
      </c>
      <c r="C896" s="9" t="str">
        <f t="shared" si="13"/>
        <v>230097</v>
      </c>
      <c r="D896" s="9" t="str">
        <f>"230913228"</f>
        <v>230913228</v>
      </c>
      <c r="E896" s="10">
        <v>0</v>
      </c>
      <c r="F896" s="10"/>
      <c r="G896" s="10">
        <v>0</v>
      </c>
      <c r="H896" s="10"/>
      <c r="I896" s="10">
        <v>0</v>
      </c>
    </row>
    <row r="897" spans="1:9" s="3" customFormat="1" ht="21.75" customHeight="1">
      <c r="A897" s="8" t="s">
        <v>37</v>
      </c>
      <c r="B897" s="8" t="s">
        <v>39</v>
      </c>
      <c r="C897" s="9" t="str">
        <f t="shared" si="13"/>
        <v>230097</v>
      </c>
      <c r="D897" s="9" t="str">
        <f>"230913229"</f>
        <v>230913229</v>
      </c>
      <c r="E897" s="10">
        <v>0</v>
      </c>
      <c r="F897" s="10"/>
      <c r="G897" s="10">
        <v>0</v>
      </c>
      <c r="H897" s="10"/>
      <c r="I897" s="10">
        <v>0</v>
      </c>
    </row>
    <row r="898" spans="1:9" s="3" customFormat="1" ht="21.75" customHeight="1">
      <c r="A898" s="8" t="s">
        <v>37</v>
      </c>
      <c r="B898" s="8" t="s">
        <v>39</v>
      </c>
      <c r="C898" s="9" t="str">
        <f t="shared" si="13"/>
        <v>230097</v>
      </c>
      <c r="D898" s="9" t="str">
        <f>"230913304"</f>
        <v>230913304</v>
      </c>
      <c r="E898" s="10">
        <v>0</v>
      </c>
      <c r="F898" s="10"/>
      <c r="G898" s="10">
        <v>0</v>
      </c>
      <c r="H898" s="10"/>
      <c r="I898" s="10">
        <v>0</v>
      </c>
    </row>
    <row r="899" spans="1:9" s="2" customFormat="1" ht="21.75" customHeight="1">
      <c r="A899" s="8" t="s">
        <v>37</v>
      </c>
      <c r="B899" s="8" t="s">
        <v>39</v>
      </c>
      <c r="C899" s="9" t="str">
        <f t="shared" si="13"/>
        <v>230097</v>
      </c>
      <c r="D899" s="9" t="str">
        <f>"230913308"</f>
        <v>230913308</v>
      </c>
      <c r="E899" s="10">
        <v>0</v>
      </c>
      <c r="F899" s="10"/>
      <c r="G899" s="10">
        <v>0</v>
      </c>
      <c r="H899" s="10"/>
      <c r="I899" s="10">
        <v>0</v>
      </c>
    </row>
    <row r="900" spans="1:9" s="3" customFormat="1" ht="21.75" customHeight="1">
      <c r="A900" s="8" t="s">
        <v>37</v>
      </c>
      <c r="B900" s="8" t="s">
        <v>39</v>
      </c>
      <c r="C900" s="9" t="str">
        <f t="shared" si="13"/>
        <v>230097</v>
      </c>
      <c r="D900" s="9" t="str">
        <f>"230913309"</f>
        <v>230913309</v>
      </c>
      <c r="E900" s="10">
        <v>0</v>
      </c>
      <c r="F900" s="10"/>
      <c r="G900" s="10">
        <v>0</v>
      </c>
      <c r="H900" s="10"/>
      <c r="I900" s="10">
        <v>0</v>
      </c>
    </row>
    <row r="901" spans="1:9" s="3" customFormat="1" ht="21.75" customHeight="1">
      <c r="A901" s="8" t="s">
        <v>37</v>
      </c>
      <c r="B901" s="8" t="s">
        <v>39</v>
      </c>
      <c r="C901" s="9" t="str">
        <f t="shared" si="13"/>
        <v>230097</v>
      </c>
      <c r="D901" s="9" t="str">
        <f>"230913311"</f>
        <v>230913311</v>
      </c>
      <c r="E901" s="10">
        <v>0</v>
      </c>
      <c r="F901" s="10"/>
      <c r="G901" s="10">
        <v>0</v>
      </c>
      <c r="H901" s="10"/>
      <c r="I901" s="10">
        <v>0</v>
      </c>
    </row>
    <row r="902" spans="1:9" s="2" customFormat="1" ht="21.75" customHeight="1">
      <c r="A902" s="8" t="s">
        <v>37</v>
      </c>
      <c r="B902" s="8" t="s">
        <v>39</v>
      </c>
      <c r="C902" s="9" t="str">
        <f t="shared" ref="C902:C965" si="14">"230097"</f>
        <v>230097</v>
      </c>
      <c r="D902" s="9" t="str">
        <f>"230913314"</f>
        <v>230913314</v>
      </c>
      <c r="E902" s="10">
        <v>0</v>
      </c>
      <c r="F902" s="10"/>
      <c r="G902" s="10">
        <v>0</v>
      </c>
      <c r="H902" s="10"/>
      <c r="I902" s="10">
        <v>0</v>
      </c>
    </row>
    <row r="903" spans="1:9" s="2" customFormat="1" ht="21.75" customHeight="1">
      <c r="A903" s="8" t="s">
        <v>37</v>
      </c>
      <c r="B903" s="8" t="s">
        <v>39</v>
      </c>
      <c r="C903" s="9" t="str">
        <f t="shared" si="14"/>
        <v>230097</v>
      </c>
      <c r="D903" s="9" t="str">
        <f>"230913319"</f>
        <v>230913319</v>
      </c>
      <c r="E903" s="10">
        <v>0</v>
      </c>
      <c r="F903" s="10"/>
      <c r="G903" s="10">
        <v>0</v>
      </c>
      <c r="H903" s="10"/>
      <c r="I903" s="10">
        <v>0</v>
      </c>
    </row>
    <row r="904" spans="1:9" s="2" customFormat="1" ht="21.75" customHeight="1">
      <c r="A904" s="8" t="s">
        <v>37</v>
      </c>
      <c r="B904" s="8" t="s">
        <v>39</v>
      </c>
      <c r="C904" s="9" t="str">
        <f t="shared" si="14"/>
        <v>230097</v>
      </c>
      <c r="D904" s="9" t="str">
        <f>"230913324"</f>
        <v>230913324</v>
      </c>
      <c r="E904" s="10">
        <v>0</v>
      </c>
      <c r="F904" s="10"/>
      <c r="G904" s="10">
        <v>0</v>
      </c>
      <c r="H904" s="10"/>
      <c r="I904" s="10">
        <v>0</v>
      </c>
    </row>
    <row r="905" spans="1:9" s="2" customFormat="1" ht="21.75" customHeight="1">
      <c r="A905" s="8" t="s">
        <v>37</v>
      </c>
      <c r="B905" s="8" t="s">
        <v>39</v>
      </c>
      <c r="C905" s="9" t="str">
        <f t="shared" si="14"/>
        <v>230097</v>
      </c>
      <c r="D905" s="9" t="str">
        <f>"230913325"</f>
        <v>230913325</v>
      </c>
      <c r="E905" s="10">
        <v>0</v>
      </c>
      <c r="F905" s="10"/>
      <c r="G905" s="10">
        <v>0</v>
      </c>
      <c r="H905" s="10"/>
      <c r="I905" s="10">
        <v>0</v>
      </c>
    </row>
    <row r="906" spans="1:9" s="3" customFormat="1" ht="21.75" customHeight="1">
      <c r="A906" s="8" t="s">
        <v>37</v>
      </c>
      <c r="B906" s="8" t="s">
        <v>39</v>
      </c>
      <c r="C906" s="9" t="str">
        <f t="shared" si="14"/>
        <v>230097</v>
      </c>
      <c r="D906" s="9" t="str">
        <f>"230913327"</f>
        <v>230913327</v>
      </c>
      <c r="E906" s="10">
        <v>0</v>
      </c>
      <c r="F906" s="10"/>
      <c r="G906" s="10">
        <v>0</v>
      </c>
      <c r="H906" s="10"/>
      <c r="I906" s="10">
        <v>0</v>
      </c>
    </row>
    <row r="907" spans="1:9" s="2" customFormat="1" ht="21.75" customHeight="1">
      <c r="A907" s="8" t="s">
        <v>37</v>
      </c>
      <c r="B907" s="8" t="s">
        <v>39</v>
      </c>
      <c r="C907" s="9" t="str">
        <f t="shared" si="14"/>
        <v>230097</v>
      </c>
      <c r="D907" s="9" t="str">
        <f>"230913328"</f>
        <v>230913328</v>
      </c>
      <c r="E907" s="10">
        <v>0</v>
      </c>
      <c r="F907" s="10"/>
      <c r="G907" s="10">
        <v>0</v>
      </c>
      <c r="H907" s="10"/>
      <c r="I907" s="10">
        <v>0</v>
      </c>
    </row>
    <row r="908" spans="1:9" s="2" customFormat="1" ht="21.75" customHeight="1">
      <c r="A908" s="8" t="s">
        <v>37</v>
      </c>
      <c r="B908" s="8" t="s">
        <v>39</v>
      </c>
      <c r="C908" s="9" t="str">
        <f t="shared" si="14"/>
        <v>230097</v>
      </c>
      <c r="D908" s="9" t="str">
        <f>"230913401"</f>
        <v>230913401</v>
      </c>
      <c r="E908" s="10">
        <v>0</v>
      </c>
      <c r="F908" s="10"/>
      <c r="G908" s="10">
        <v>0</v>
      </c>
      <c r="H908" s="10"/>
      <c r="I908" s="10">
        <v>0</v>
      </c>
    </row>
    <row r="909" spans="1:9" s="3" customFormat="1" ht="21.75" customHeight="1">
      <c r="A909" s="8" t="s">
        <v>37</v>
      </c>
      <c r="B909" s="8" t="s">
        <v>39</v>
      </c>
      <c r="C909" s="9" t="str">
        <f t="shared" si="14"/>
        <v>230097</v>
      </c>
      <c r="D909" s="9" t="str">
        <f>"230913405"</f>
        <v>230913405</v>
      </c>
      <c r="E909" s="10">
        <v>0</v>
      </c>
      <c r="F909" s="10"/>
      <c r="G909" s="10">
        <v>0</v>
      </c>
      <c r="H909" s="10"/>
      <c r="I909" s="10">
        <v>0</v>
      </c>
    </row>
    <row r="910" spans="1:9" s="2" customFormat="1" ht="21.75" customHeight="1">
      <c r="A910" s="8" t="s">
        <v>37</v>
      </c>
      <c r="B910" s="8" t="s">
        <v>39</v>
      </c>
      <c r="C910" s="9" t="str">
        <f t="shared" si="14"/>
        <v>230097</v>
      </c>
      <c r="D910" s="9" t="str">
        <f>"230913409"</f>
        <v>230913409</v>
      </c>
      <c r="E910" s="10">
        <v>0</v>
      </c>
      <c r="F910" s="10"/>
      <c r="G910" s="10">
        <v>0</v>
      </c>
      <c r="H910" s="10"/>
      <c r="I910" s="10">
        <v>0</v>
      </c>
    </row>
    <row r="911" spans="1:9" s="2" customFormat="1" ht="21.75" customHeight="1">
      <c r="A911" s="8" t="s">
        <v>37</v>
      </c>
      <c r="B911" s="8" t="s">
        <v>39</v>
      </c>
      <c r="C911" s="9" t="str">
        <f t="shared" si="14"/>
        <v>230097</v>
      </c>
      <c r="D911" s="9" t="str">
        <f>"230913419"</f>
        <v>230913419</v>
      </c>
      <c r="E911" s="10">
        <v>0</v>
      </c>
      <c r="F911" s="10"/>
      <c r="G911" s="10">
        <v>0</v>
      </c>
      <c r="H911" s="10"/>
      <c r="I911" s="10">
        <v>0</v>
      </c>
    </row>
    <row r="912" spans="1:9" s="2" customFormat="1" ht="21.75" customHeight="1">
      <c r="A912" s="8" t="s">
        <v>37</v>
      </c>
      <c r="B912" s="8" t="s">
        <v>39</v>
      </c>
      <c r="C912" s="9" t="str">
        <f t="shared" si="14"/>
        <v>230097</v>
      </c>
      <c r="D912" s="9" t="str">
        <f>"230913420"</f>
        <v>230913420</v>
      </c>
      <c r="E912" s="10">
        <v>0</v>
      </c>
      <c r="F912" s="10"/>
      <c r="G912" s="10">
        <v>0</v>
      </c>
      <c r="H912" s="10"/>
      <c r="I912" s="10">
        <v>0</v>
      </c>
    </row>
    <row r="913" spans="1:9" s="2" customFormat="1" ht="21.75" customHeight="1">
      <c r="A913" s="8" t="s">
        <v>37</v>
      </c>
      <c r="B913" s="8" t="s">
        <v>39</v>
      </c>
      <c r="C913" s="9" t="str">
        <f t="shared" si="14"/>
        <v>230097</v>
      </c>
      <c r="D913" s="9" t="str">
        <f>"230913426"</f>
        <v>230913426</v>
      </c>
      <c r="E913" s="10">
        <v>0</v>
      </c>
      <c r="F913" s="10"/>
      <c r="G913" s="10">
        <v>0</v>
      </c>
      <c r="H913" s="10"/>
      <c r="I913" s="10">
        <v>0</v>
      </c>
    </row>
    <row r="914" spans="1:9" s="3" customFormat="1" ht="21.75" customHeight="1">
      <c r="A914" s="8" t="s">
        <v>37</v>
      </c>
      <c r="B914" s="8" t="s">
        <v>39</v>
      </c>
      <c r="C914" s="9" t="str">
        <f t="shared" si="14"/>
        <v>230097</v>
      </c>
      <c r="D914" s="9" t="str">
        <f>"230913427"</f>
        <v>230913427</v>
      </c>
      <c r="E914" s="10">
        <v>0</v>
      </c>
      <c r="F914" s="10"/>
      <c r="G914" s="10">
        <v>0</v>
      </c>
      <c r="H914" s="10"/>
      <c r="I914" s="10">
        <v>0</v>
      </c>
    </row>
    <row r="915" spans="1:9" s="2" customFormat="1" ht="21.75" customHeight="1">
      <c r="A915" s="8" t="s">
        <v>37</v>
      </c>
      <c r="B915" s="8" t="s">
        <v>39</v>
      </c>
      <c r="C915" s="9" t="str">
        <f t="shared" si="14"/>
        <v>230097</v>
      </c>
      <c r="D915" s="9" t="str">
        <f>"230913428"</f>
        <v>230913428</v>
      </c>
      <c r="E915" s="10">
        <v>0</v>
      </c>
      <c r="F915" s="10"/>
      <c r="G915" s="10">
        <v>0</v>
      </c>
      <c r="H915" s="10"/>
      <c r="I915" s="10">
        <v>0</v>
      </c>
    </row>
    <row r="916" spans="1:9" s="2" customFormat="1" ht="21.75" customHeight="1">
      <c r="A916" s="8" t="s">
        <v>37</v>
      </c>
      <c r="B916" s="8" t="s">
        <v>39</v>
      </c>
      <c r="C916" s="9" t="str">
        <f t="shared" si="14"/>
        <v>230097</v>
      </c>
      <c r="D916" s="9" t="str">
        <f>"230913430"</f>
        <v>230913430</v>
      </c>
      <c r="E916" s="10">
        <v>0</v>
      </c>
      <c r="F916" s="10"/>
      <c r="G916" s="10">
        <v>0</v>
      </c>
      <c r="H916" s="10"/>
      <c r="I916" s="10">
        <v>0</v>
      </c>
    </row>
    <row r="917" spans="1:9" s="2" customFormat="1" ht="21.75" customHeight="1">
      <c r="A917" s="8" t="s">
        <v>37</v>
      </c>
      <c r="B917" s="8" t="s">
        <v>39</v>
      </c>
      <c r="C917" s="9" t="str">
        <f t="shared" si="14"/>
        <v>230097</v>
      </c>
      <c r="D917" s="9" t="str">
        <f>"230913502"</f>
        <v>230913502</v>
      </c>
      <c r="E917" s="10">
        <v>0</v>
      </c>
      <c r="F917" s="10"/>
      <c r="G917" s="10">
        <v>0</v>
      </c>
      <c r="H917" s="10"/>
      <c r="I917" s="10">
        <v>0</v>
      </c>
    </row>
    <row r="918" spans="1:9" s="3" customFormat="1" ht="21.75" customHeight="1">
      <c r="A918" s="8" t="s">
        <v>37</v>
      </c>
      <c r="B918" s="8" t="s">
        <v>39</v>
      </c>
      <c r="C918" s="9" t="str">
        <f t="shared" si="14"/>
        <v>230097</v>
      </c>
      <c r="D918" s="9" t="str">
        <f>"230913505"</f>
        <v>230913505</v>
      </c>
      <c r="E918" s="10">
        <v>0</v>
      </c>
      <c r="F918" s="10"/>
      <c r="G918" s="10">
        <v>0</v>
      </c>
      <c r="H918" s="10"/>
      <c r="I918" s="10">
        <v>0</v>
      </c>
    </row>
    <row r="919" spans="1:9" s="2" customFormat="1" ht="21.75" customHeight="1">
      <c r="A919" s="8" t="s">
        <v>37</v>
      </c>
      <c r="B919" s="8" t="s">
        <v>39</v>
      </c>
      <c r="C919" s="9" t="str">
        <f t="shared" si="14"/>
        <v>230097</v>
      </c>
      <c r="D919" s="9" t="str">
        <f>"230913509"</f>
        <v>230913509</v>
      </c>
      <c r="E919" s="10">
        <v>0</v>
      </c>
      <c r="F919" s="10"/>
      <c r="G919" s="10">
        <v>0</v>
      </c>
      <c r="H919" s="10"/>
      <c r="I919" s="10">
        <v>0</v>
      </c>
    </row>
    <row r="920" spans="1:9" s="2" customFormat="1" ht="21.75" customHeight="1">
      <c r="A920" s="8" t="s">
        <v>37</v>
      </c>
      <c r="B920" s="8" t="s">
        <v>39</v>
      </c>
      <c r="C920" s="9" t="str">
        <f t="shared" si="14"/>
        <v>230097</v>
      </c>
      <c r="D920" s="9" t="str">
        <f>"230913513"</f>
        <v>230913513</v>
      </c>
      <c r="E920" s="10">
        <v>0</v>
      </c>
      <c r="F920" s="10"/>
      <c r="G920" s="10">
        <v>0</v>
      </c>
      <c r="H920" s="10"/>
      <c r="I920" s="10">
        <v>0</v>
      </c>
    </row>
    <row r="921" spans="1:9" s="2" customFormat="1" ht="21.75" customHeight="1">
      <c r="A921" s="8" t="s">
        <v>37</v>
      </c>
      <c r="B921" s="8" t="s">
        <v>39</v>
      </c>
      <c r="C921" s="9" t="str">
        <f t="shared" si="14"/>
        <v>230097</v>
      </c>
      <c r="D921" s="9" t="str">
        <f>"230913519"</f>
        <v>230913519</v>
      </c>
      <c r="E921" s="10">
        <v>0</v>
      </c>
      <c r="F921" s="10"/>
      <c r="G921" s="10">
        <v>0</v>
      </c>
      <c r="H921" s="10"/>
      <c r="I921" s="10">
        <v>0</v>
      </c>
    </row>
    <row r="922" spans="1:9" s="2" customFormat="1" ht="21.75" customHeight="1">
      <c r="A922" s="8" t="s">
        <v>37</v>
      </c>
      <c r="B922" s="8" t="s">
        <v>39</v>
      </c>
      <c r="C922" s="9" t="str">
        <f t="shared" si="14"/>
        <v>230097</v>
      </c>
      <c r="D922" s="9" t="str">
        <f>"230913523"</f>
        <v>230913523</v>
      </c>
      <c r="E922" s="10">
        <v>0</v>
      </c>
      <c r="F922" s="10"/>
      <c r="G922" s="10">
        <v>0</v>
      </c>
      <c r="H922" s="10"/>
      <c r="I922" s="10">
        <v>0</v>
      </c>
    </row>
    <row r="923" spans="1:9" s="3" customFormat="1" ht="21.75" customHeight="1">
      <c r="A923" s="8" t="s">
        <v>37</v>
      </c>
      <c r="B923" s="8" t="s">
        <v>39</v>
      </c>
      <c r="C923" s="9" t="str">
        <f t="shared" si="14"/>
        <v>230097</v>
      </c>
      <c r="D923" s="9" t="str">
        <f>"230913601"</f>
        <v>230913601</v>
      </c>
      <c r="E923" s="10">
        <v>0</v>
      </c>
      <c r="F923" s="10"/>
      <c r="G923" s="10">
        <v>0</v>
      </c>
      <c r="H923" s="10"/>
      <c r="I923" s="10">
        <v>0</v>
      </c>
    </row>
    <row r="924" spans="1:9" s="2" customFormat="1" ht="21.75" customHeight="1">
      <c r="A924" s="8" t="s">
        <v>37</v>
      </c>
      <c r="B924" s="8" t="s">
        <v>39</v>
      </c>
      <c r="C924" s="9" t="str">
        <f t="shared" si="14"/>
        <v>230097</v>
      </c>
      <c r="D924" s="9" t="str">
        <f>"230913608"</f>
        <v>230913608</v>
      </c>
      <c r="E924" s="10">
        <v>0</v>
      </c>
      <c r="F924" s="10"/>
      <c r="G924" s="10">
        <v>0</v>
      </c>
      <c r="H924" s="10"/>
      <c r="I924" s="10">
        <v>0</v>
      </c>
    </row>
    <row r="925" spans="1:9" s="2" customFormat="1" ht="21.75" customHeight="1">
      <c r="A925" s="8" t="s">
        <v>37</v>
      </c>
      <c r="B925" s="8" t="s">
        <v>39</v>
      </c>
      <c r="C925" s="9" t="str">
        <f t="shared" si="14"/>
        <v>230097</v>
      </c>
      <c r="D925" s="9" t="str">
        <f>"230913610"</f>
        <v>230913610</v>
      </c>
      <c r="E925" s="10">
        <v>0</v>
      </c>
      <c r="F925" s="10"/>
      <c r="G925" s="10">
        <v>0</v>
      </c>
      <c r="H925" s="10"/>
      <c r="I925" s="10">
        <v>0</v>
      </c>
    </row>
    <row r="926" spans="1:9" s="3" customFormat="1" ht="21.75" customHeight="1">
      <c r="A926" s="8" t="s">
        <v>37</v>
      </c>
      <c r="B926" s="8" t="s">
        <v>39</v>
      </c>
      <c r="C926" s="9" t="str">
        <f t="shared" si="14"/>
        <v>230097</v>
      </c>
      <c r="D926" s="9" t="str">
        <f>"230913616"</f>
        <v>230913616</v>
      </c>
      <c r="E926" s="10">
        <v>0</v>
      </c>
      <c r="F926" s="10"/>
      <c r="G926" s="10">
        <v>0</v>
      </c>
      <c r="H926" s="10"/>
      <c r="I926" s="10">
        <v>0</v>
      </c>
    </row>
    <row r="927" spans="1:9" s="3" customFormat="1" ht="21.75" customHeight="1">
      <c r="A927" s="8" t="s">
        <v>37</v>
      </c>
      <c r="B927" s="8" t="s">
        <v>39</v>
      </c>
      <c r="C927" s="9" t="str">
        <f t="shared" si="14"/>
        <v>230097</v>
      </c>
      <c r="D927" s="9" t="str">
        <f>"230913618"</f>
        <v>230913618</v>
      </c>
      <c r="E927" s="10">
        <v>0</v>
      </c>
      <c r="F927" s="10"/>
      <c r="G927" s="10">
        <v>0</v>
      </c>
      <c r="H927" s="10"/>
      <c r="I927" s="10">
        <v>0</v>
      </c>
    </row>
    <row r="928" spans="1:9" s="2" customFormat="1" ht="21.75" customHeight="1">
      <c r="A928" s="8" t="s">
        <v>37</v>
      </c>
      <c r="B928" s="8" t="s">
        <v>39</v>
      </c>
      <c r="C928" s="9" t="str">
        <f t="shared" si="14"/>
        <v>230097</v>
      </c>
      <c r="D928" s="9" t="str">
        <f>"230913619"</f>
        <v>230913619</v>
      </c>
      <c r="E928" s="10">
        <v>0</v>
      </c>
      <c r="F928" s="10"/>
      <c r="G928" s="10">
        <v>0</v>
      </c>
      <c r="H928" s="10"/>
      <c r="I928" s="10">
        <v>0</v>
      </c>
    </row>
    <row r="929" spans="1:9" s="2" customFormat="1" ht="21.75" customHeight="1">
      <c r="A929" s="8" t="s">
        <v>37</v>
      </c>
      <c r="B929" s="8" t="s">
        <v>39</v>
      </c>
      <c r="C929" s="9" t="str">
        <f t="shared" si="14"/>
        <v>230097</v>
      </c>
      <c r="D929" s="9" t="str">
        <f>"230913620"</f>
        <v>230913620</v>
      </c>
      <c r="E929" s="10">
        <v>0</v>
      </c>
      <c r="F929" s="10"/>
      <c r="G929" s="10">
        <v>0</v>
      </c>
      <c r="H929" s="10"/>
      <c r="I929" s="10">
        <v>0</v>
      </c>
    </row>
    <row r="930" spans="1:9" s="2" customFormat="1" ht="21.75" customHeight="1">
      <c r="A930" s="8" t="s">
        <v>37</v>
      </c>
      <c r="B930" s="8" t="s">
        <v>39</v>
      </c>
      <c r="C930" s="9" t="str">
        <f t="shared" si="14"/>
        <v>230097</v>
      </c>
      <c r="D930" s="9" t="str">
        <f>"230913621"</f>
        <v>230913621</v>
      </c>
      <c r="E930" s="10">
        <v>0</v>
      </c>
      <c r="F930" s="10"/>
      <c r="G930" s="10">
        <v>0</v>
      </c>
      <c r="H930" s="10"/>
      <c r="I930" s="10">
        <v>0</v>
      </c>
    </row>
    <row r="931" spans="1:9" s="3" customFormat="1" ht="21.75" customHeight="1">
      <c r="A931" s="8" t="s">
        <v>37</v>
      </c>
      <c r="B931" s="8" t="s">
        <v>39</v>
      </c>
      <c r="C931" s="9" t="str">
        <f t="shared" si="14"/>
        <v>230097</v>
      </c>
      <c r="D931" s="9" t="str">
        <f>"230913703"</f>
        <v>230913703</v>
      </c>
      <c r="E931" s="10">
        <v>0</v>
      </c>
      <c r="F931" s="10"/>
      <c r="G931" s="10">
        <v>0</v>
      </c>
      <c r="H931" s="10"/>
      <c r="I931" s="10">
        <v>0</v>
      </c>
    </row>
    <row r="932" spans="1:9" s="3" customFormat="1" ht="21.75" customHeight="1">
      <c r="A932" s="8" t="s">
        <v>37</v>
      </c>
      <c r="B932" s="8" t="s">
        <v>39</v>
      </c>
      <c r="C932" s="9" t="str">
        <f t="shared" si="14"/>
        <v>230097</v>
      </c>
      <c r="D932" s="9" t="str">
        <f>"230913705"</f>
        <v>230913705</v>
      </c>
      <c r="E932" s="10">
        <v>0</v>
      </c>
      <c r="F932" s="10"/>
      <c r="G932" s="10">
        <v>0</v>
      </c>
      <c r="H932" s="10"/>
      <c r="I932" s="10">
        <v>0</v>
      </c>
    </row>
    <row r="933" spans="1:9" s="2" customFormat="1" ht="21.75" customHeight="1">
      <c r="A933" s="8" t="s">
        <v>37</v>
      </c>
      <c r="B933" s="8" t="s">
        <v>39</v>
      </c>
      <c r="C933" s="9" t="str">
        <f t="shared" si="14"/>
        <v>230097</v>
      </c>
      <c r="D933" s="9" t="str">
        <f>"230913706"</f>
        <v>230913706</v>
      </c>
      <c r="E933" s="10">
        <v>0</v>
      </c>
      <c r="F933" s="10"/>
      <c r="G933" s="10">
        <v>0</v>
      </c>
      <c r="H933" s="10"/>
      <c r="I933" s="10">
        <v>0</v>
      </c>
    </row>
    <row r="934" spans="1:9" s="2" customFormat="1" ht="21.75" customHeight="1">
      <c r="A934" s="8" t="s">
        <v>37</v>
      </c>
      <c r="B934" s="8" t="s">
        <v>39</v>
      </c>
      <c r="C934" s="9" t="str">
        <f t="shared" si="14"/>
        <v>230097</v>
      </c>
      <c r="D934" s="9" t="str">
        <f>"230913709"</f>
        <v>230913709</v>
      </c>
      <c r="E934" s="10">
        <v>0</v>
      </c>
      <c r="F934" s="10"/>
      <c r="G934" s="10">
        <v>0</v>
      </c>
      <c r="H934" s="10"/>
      <c r="I934" s="10">
        <v>0</v>
      </c>
    </row>
    <row r="935" spans="1:9" s="2" customFormat="1" ht="21.75" customHeight="1">
      <c r="A935" s="8" t="s">
        <v>37</v>
      </c>
      <c r="B935" s="8" t="s">
        <v>39</v>
      </c>
      <c r="C935" s="9" t="str">
        <f t="shared" si="14"/>
        <v>230097</v>
      </c>
      <c r="D935" s="9" t="str">
        <f>"230913710"</f>
        <v>230913710</v>
      </c>
      <c r="E935" s="10">
        <v>0</v>
      </c>
      <c r="F935" s="10"/>
      <c r="G935" s="10">
        <v>0</v>
      </c>
      <c r="H935" s="10"/>
      <c r="I935" s="10">
        <v>0</v>
      </c>
    </row>
    <row r="936" spans="1:9" s="2" customFormat="1" ht="21.75" customHeight="1">
      <c r="A936" s="8" t="s">
        <v>37</v>
      </c>
      <c r="B936" s="8" t="s">
        <v>39</v>
      </c>
      <c r="C936" s="9" t="str">
        <f t="shared" si="14"/>
        <v>230097</v>
      </c>
      <c r="D936" s="9" t="str">
        <f>"230913714"</f>
        <v>230913714</v>
      </c>
      <c r="E936" s="10">
        <v>0</v>
      </c>
      <c r="F936" s="10"/>
      <c r="G936" s="10">
        <v>0</v>
      </c>
      <c r="H936" s="10"/>
      <c r="I936" s="10">
        <v>0</v>
      </c>
    </row>
    <row r="937" spans="1:9" s="2" customFormat="1" ht="21.75" customHeight="1">
      <c r="A937" s="8" t="s">
        <v>37</v>
      </c>
      <c r="B937" s="8" t="s">
        <v>39</v>
      </c>
      <c r="C937" s="9" t="str">
        <f t="shared" si="14"/>
        <v>230097</v>
      </c>
      <c r="D937" s="9" t="str">
        <f>"230913717"</f>
        <v>230913717</v>
      </c>
      <c r="E937" s="10">
        <v>0</v>
      </c>
      <c r="F937" s="10"/>
      <c r="G937" s="10">
        <v>0</v>
      </c>
      <c r="H937" s="10"/>
      <c r="I937" s="10">
        <v>0</v>
      </c>
    </row>
    <row r="938" spans="1:9" s="2" customFormat="1" ht="21.75" customHeight="1">
      <c r="A938" s="8" t="s">
        <v>37</v>
      </c>
      <c r="B938" s="8" t="s">
        <v>39</v>
      </c>
      <c r="C938" s="9" t="str">
        <f t="shared" si="14"/>
        <v>230097</v>
      </c>
      <c r="D938" s="9" t="str">
        <f>"230913718"</f>
        <v>230913718</v>
      </c>
      <c r="E938" s="10">
        <v>0</v>
      </c>
      <c r="F938" s="10"/>
      <c r="G938" s="10">
        <v>0</v>
      </c>
      <c r="H938" s="10"/>
      <c r="I938" s="10">
        <v>0</v>
      </c>
    </row>
    <row r="939" spans="1:9" s="2" customFormat="1" ht="21.75" customHeight="1">
      <c r="A939" s="8" t="s">
        <v>37</v>
      </c>
      <c r="B939" s="8" t="s">
        <v>39</v>
      </c>
      <c r="C939" s="9" t="str">
        <f t="shared" si="14"/>
        <v>230097</v>
      </c>
      <c r="D939" s="9" t="str">
        <f>"230913720"</f>
        <v>230913720</v>
      </c>
      <c r="E939" s="10">
        <v>0</v>
      </c>
      <c r="F939" s="10"/>
      <c r="G939" s="10">
        <v>0</v>
      </c>
      <c r="H939" s="10"/>
      <c r="I939" s="10">
        <v>0</v>
      </c>
    </row>
    <row r="940" spans="1:9" s="3" customFormat="1" ht="21.75" customHeight="1">
      <c r="A940" s="8" t="s">
        <v>37</v>
      </c>
      <c r="B940" s="8" t="s">
        <v>39</v>
      </c>
      <c r="C940" s="9" t="str">
        <f t="shared" si="14"/>
        <v>230097</v>
      </c>
      <c r="D940" s="9" t="str">
        <f>"230913803"</f>
        <v>230913803</v>
      </c>
      <c r="E940" s="10">
        <v>0</v>
      </c>
      <c r="F940" s="10"/>
      <c r="G940" s="10">
        <v>0</v>
      </c>
      <c r="H940" s="10"/>
      <c r="I940" s="10">
        <v>0</v>
      </c>
    </row>
    <row r="941" spans="1:9" s="2" customFormat="1" ht="21.75" customHeight="1">
      <c r="A941" s="8" t="s">
        <v>37</v>
      </c>
      <c r="B941" s="8" t="s">
        <v>39</v>
      </c>
      <c r="C941" s="9" t="str">
        <f t="shared" si="14"/>
        <v>230097</v>
      </c>
      <c r="D941" s="9" t="str">
        <f>"230913805"</f>
        <v>230913805</v>
      </c>
      <c r="E941" s="10">
        <v>0</v>
      </c>
      <c r="F941" s="10"/>
      <c r="G941" s="10">
        <v>0</v>
      </c>
      <c r="H941" s="10"/>
      <c r="I941" s="10">
        <v>0</v>
      </c>
    </row>
    <row r="942" spans="1:9" s="3" customFormat="1" ht="21.75" customHeight="1">
      <c r="A942" s="8" t="s">
        <v>37</v>
      </c>
      <c r="B942" s="8" t="s">
        <v>39</v>
      </c>
      <c r="C942" s="9" t="str">
        <f t="shared" si="14"/>
        <v>230097</v>
      </c>
      <c r="D942" s="9" t="str">
        <f>"230913810"</f>
        <v>230913810</v>
      </c>
      <c r="E942" s="10">
        <v>0</v>
      </c>
      <c r="F942" s="10"/>
      <c r="G942" s="10">
        <v>0</v>
      </c>
      <c r="H942" s="10"/>
      <c r="I942" s="10">
        <v>0</v>
      </c>
    </row>
    <row r="943" spans="1:9" s="2" customFormat="1" ht="21.75" customHeight="1">
      <c r="A943" s="8" t="s">
        <v>37</v>
      </c>
      <c r="B943" s="8" t="s">
        <v>39</v>
      </c>
      <c r="C943" s="9" t="str">
        <f t="shared" si="14"/>
        <v>230097</v>
      </c>
      <c r="D943" s="9" t="str">
        <f>"230913815"</f>
        <v>230913815</v>
      </c>
      <c r="E943" s="10">
        <v>0</v>
      </c>
      <c r="F943" s="10"/>
      <c r="G943" s="10">
        <v>0</v>
      </c>
      <c r="H943" s="10"/>
      <c r="I943" s="10">
        <v>0</v>
      </c>
    </row>
    <row r="944" spans="1:9" s="2" customFormat="1" ht="21.75" customHeight="1">
      <c r="A944" s="8" t="s">
        <v>37</v>
      </c>
      <c r="B944" s="8" t="s">
        <v>39</v>
      </c>
      <c r="C944" s="9" t="str">
        <f t="shared" si="14"/>
        <v>230097</v>
      </c>
      <c r="D944" s="9" t="str">
        <f>"230913817"</f>
        <v>230913817</v>
      </c>
      <c r="E944" s="10">
        <v>0</v>
      </c>
      <c r="F944" s="10"/>
      <c r="G944" s="10">
        <v>0</v>
      </c>
      <c r="H944" s="10"/>
      <c r="I944" s="10">
        <v>0</v>
      </c>
    </row>
    <row r="945" spans="1:9" s="3" customFormat="1" ht="21.75" customHeight="1">
      <c r="A945" s="8" t="s">
        <v>37</v>
      </c>
      <c r="B945" s="8" t="s">
        <v>39</v>
      </c>
      <c r="C945" s="9" t="str">
        <f t="shared" si="14"/>
        <v>230097</v>
      </c>
      <c r="D945" s="9" t="str">
        <f>"230913818"</f>
        <v>230913818</v>
      </c>
      <c r="E945" s="10">
        <v>0</v>
      </c>
      <c r="F945" s="10"/>
      <c r="G945" s="10">
        <v>0</v>
      </c>
      <c r="H945" s="10"/>
      <c r="I945" s="10">
        <v>0</v>
      </c>
    </row>
    <row r="946" spans="1:9" s="2" customFormat="1" ht="21.75" customHeight="1">
      <c r="A946" s="8" t="s">
        <v>37</v>
      </c>
      <c r="B946" s="8" t="s">
        <v>39</v>
      </c>
      <c r="C946" s="9" t="str">
        <f t="shared" si="14"/>
        <v>230097</v>
      </c>
      <c r="D946" s="9" t="str">
        <f>"230913821"</f>
        <v>230913821</v>
      </c>
      <c r="E946" s="10">
        <v>0</v>
      </c>
      <c r="F946" s="10"/>
      <c r="G946" s="10">
        <v>0</v>
      </c>
      <c r="H946" s="10"/>
      <c r="I946" s="10">
        <v>0</v>
      </c>
    </row>
    <row r="947" spans="1:9" s="2" customFormat="1" ht="21.75" customHeight="1">
      <c r="A947" s="8" t="s">
        <v>37</v>
      </c>
      <c r="B947" s="8" t="s">
        <v>39</v>
      </c>
      <c r="C947" s="9" t="str">
        <f t="shared" si="14"/>
        <v>230097</v>
      </c>
      <c r="D947" s="9" t="str">
        <f>"230913826"</f>
        <v>230913826</v>
      </c>
      <c r="E947" s="10">
        <v>0</v>
      </c>
      <c r="F947" s="10"/>
      <c r="G947" s="10">
        <v>0</v>
      </c>
      <c r="H947" s="10"/>
      <c r="I947" s="10">
        <v>0</v>
      </c>
    </row>
    <row r="948" spans="1:9" s="2" customFormat="1" ht="21.75" customHeight="1">
      <c r="A948" s="8" t="s">
        <v>37</v>
      </c>
      <c r="B948" s="8" t="s">
        <v>39</v>
      </c>
      <c r="C948" s="9" t="str">
        <f t="shared" si="14"/>
        <v>230097</v>
      </c>
      <c r="D948" s="9" t="str">
        <f>"230913830"</f>
        <v>230913830</v>
      </c>
      <c r="E948" s="10">
        <v>0</v>
      </c>
      <c r="F948" s="10"/>
      <c r="G948" s="10">
        <v>0</v>
      </c>
      <c r="H948" s="10"/>
      <c r="I948" s="10">
        <v>0</v>
      </c>
    </row>
    <row r="949" spans="1:9" s="2" customFormat="1" ht="21.75" customHeight="1">
      <c r="A949" s="8" t="s">
        <v>37</v>
      </c>
      <c r="B949" s="8" t="s">
        <v>39</v>
      </c>
      <c r="C949" s="9" t="str">
        <f t="shared" si="14"/>
        <v>230097</v>
      </c>
      <c r="D949" s="9" t="str">
        <f>"230913901"</f>
        <v>230913901</v>
      </c>
      <c r="E949" s="10">
        <v>0</v>
      </c>
      <c r="F949" s="10"/>
      <c r="G949" s="10">
        <v>0</v>
      </c>
      <c r="H949" s="10"/>
      <c r="I949" s="10">
        <v>0</v>
      </c>
    </row>
    <row r="950" spans="1:9" s="2" customFormat="1" ht="21.75" customHeight="1">
      <c r="A950" s="8" t="s">
        <v>37</v>
      </c>
      <c r="B950" s="8" t="s">
        <v>39</v>
      </c>
      <c r="C950" s="9" t="str">
        <f t="shared" si="14"/>
        <v>230097</v>
      </c>
      <c r="D950" s="9" t="str">
        <f>"230913902"</f>
        <v>230913902</v>
      </c>
      <c r="E950" s="10">
        <v>0</v>
      </c>
      <c r="F950" s="10"/>
      <c r="G950" s="10">
        <v>0</v>
      </c>
      <c r="H950" s="10"/>
      <c r="I950" s="10">
        <v>0</v>
      </c>
    </row>
    <row r="951" spans="1:9" s="2" customFormat="1" ht="21.75" customHeight="1">
      <c r="A951" s="8" t="s">
        <v>37</v>
      </c>
      <c r="B951" s="8" t="s">
        <v>39</v>
      </c>
      <c r="C951" s="9" t="str">
        <f t="shared" si="14"/>
        <v>230097</v>
      </c>
      <c r="D951" s="9" t="str">
        <f>"230913903"</f>
        <v>230913903</v>
      </c>
      <c r="E951" s="10">
        <v>0</v>
      </c>
      <c r="F951" s="10"/>
      <c r="G951" s="10">
        <v>0</v>
      </c>
      <c r="H951" s="10"/>
      <c r="I951" s="10">
        <v>0</v>
      </c>
    </row>
    <row r="952" spans="1:9" s="2" customFormat="1" ht="21.75" customHeight="1">
      <c r="A952" s="8" t="s">
        <v>37</v>
      </c>
      <c r="B952" s="8" t="s">
        <v>39</v>
      </c>
      <c r="C952" s="9" t="str">
        <f t="shared" si="14"/>
        <v>230097</v>
      </c>
      <c r="D952" s="9" t="str">
        <f>"230913906"</f>
        <v>230913906</v>
      </c>
      <c r="E952" s="10">
        <v>0</v>
      </c>
      <c r="F952" s="10"/>
      <c r="G952" s="10">
        <v>0</v>
      </c>
      <c r="H952" s="10"/>
      <c r="I952" s="10">
        <v>0</v>
      </c>
    </row>
    <row r="953" spans="1:9" s="2" customFormat="1" ht="21.75" customHeight="1">
      <c r="A953" s="8" t="s">
        <v>37</v>
      </c>
      <c r="B953" s="8" t="s">
        <v>39</v>
      </c>
      <c r="C953" s="9" t="str">
        <f t="shared" si="14"/>
        <v>230097</v>
      </c>
      <c r="D953" s="9" t="str">
        <f>"230913908"</f>
        <v>230913908</v>
      </c>
      <c r="E953" s="10">
        <v>0</v>
      </c>
      <c r="F953" s="10"/>
      <c r="G953" s="10">
        <v>0</v>
      </c>
      <c r="H953" s="10"/>
      <c r="I953" s="10">
        <v>0</v>
      </c>
    </row>
    <row r="954" spans="1:9" s="2" customFormat="1" ht="21.75" customHeight="1">
      <c r="A954" s="8" t="s">
        <v>37</v>
      </c>
      <c r="B954" s="8" t="s">
        <v>39</v>
      </c>
      <c r="C954" s="9" t="str">
        <f t="shared" si="14"/>
        <v>230097</v>
      </c>
      <c r="D954" s="9" t="str">
        <f>"230913911"</f>
        <v>230913911</v>
      </c>
      <c r="E954" s="10">
        <v>0</v>
      </c>
      <c r="F954" s="10"/>
      <c r="G954" s="10">
        <v>0</v>
      </c>
      <c r="H954" s="10"/>
      <c r="I954" s="10">
        <v>0</v>
      </c>
    </row>
    <row r="955" spans="1:9" s="2" customFormat="1" ht="21.75" customHeight="1">
      <c r="A955" s="8" t="s">
        <v>37</v>
      </c>
      <c r="B955" s="8" t="s">
        <v>39</v>
      </c>
      <c r="C955" s="9" t="str">
        <f t="shared" si="14"/>
        <v>230097</v>
      </c>
      <c r="D955" s="9" t="str">
        <f>"230913915"</f>
        <v>230913915</v>
      </c>
      <c r="E955" s="10">
        <v>0</v>
      </c>
      <c r="F955" s="10"/>
      <c r="G955" s="10">
        <v>0</v>
      </c>
      <c r="H955" s="10"/>
      <c r="I955" s="10">
        <v>0</v>
      </c>
    </row>
    <row r="956" spans="1:9" s="3" customFormat="1" ht="21.75" customHeight="1">
      <c r="A956" s="8" t="s">
        <v>37</v>
      </c>
      <c r="B956" s="8" t="s">
        <v>39</v>
      </c>
      <c r="C956" s="9" t="str">
        <f t="shared" si="14"/>
        <v>230097</v>
      </c>
      <c r="D956" s="9" t="str">
        <f>"230913921"</f>
        <v>230913921</v>
      </c>
      <c r="E956" s="10">
        <v>0</v>
      </c>
      <c r="F956" s="10"/>
      <c r="G956" s="10">
        <v>0</v>
      </c>
      <c r="H956" s="10"/>
      <c r="I956" s="10">
        <v>0</v>
      </c>
    </row>
    <row r="957" spans="1:9" s="2" customFormat="1" ht="21.75" customHeight="1">
      <c r="A957" s="8" t="s">
        <v>37</v>
      </c>
      <c r="B957" s="8" t="s">
        <v>39</v>
      </c>
      <c r="C957" s="9" t="str">
        <f t="shared" si="14"/>
        <v>230097</v>
      </c>
      <c r="D957" s="9" t="str">
        <f>"230913923"</f>
        <v>230913923</v>
      </c>
      <c r="E957" s="10">
        <v>0</v>
      </c>
      <c r="F957" s="10"/>
      <c r="G957" s="10">
        <v>0</v>
      </c>
      <c r="H957" s="10"/>
      <c r="I957" s="10">
        <v>0</v>
      </c>
    </row>
    <row r="958" spans="1:9" s="2" customFormat="1" ht="21.75" customHeight="1">
      <c r="A958" s="8" t="s">
        <v>37</v>
      </c>
      <c r="B958" s="8" t="s">
        <v>39</v>
      </c>
      <c r="C958" s="9" t="str">
        <f t="shared" si="14"/>
        <v>230097</v>
      </c>
      <c r="D958" s="9" t="str">
        <f>"230913924"</f>
        <v>230913924</v>
      </c>
      <c r="E958" s="10">
        <v>0</v>
      </c>
      <c r="F958" s="10"/>
      <c r="G958" s="10">
        <v>0</v>
      </c>
      <c r="H958" s="10"/>
      <c r="I958" s="10">
        <v>0</v>
      </c>
    </row>
    <row r="959" spans="1:9" s="2" customFormat="1" ht="21.75" customHeight="1">
      <c r="A959" s="8" t="s">
        <v>37</v>
      </c>
      <c r="B959" s="8" t="s">
        <v>39</v>
      </c>
      <c r="C959" s="9" t="str">
        <f t="shared" si="14"/>
        <v>230097</v>
      </c>
      <c r="D959" s="9" t="str">
        <f>"230913929"</f>
        <v>230913929</v>
      </c>
      <c r="E959" s="10">
        <v>0</v>
      </c>
      <c r="F959" s="10"/>
      <c r="G959" s="10">
        <v>0</v>
      </c>
      <c r="H959" s="10"/>
      <c r="I959" s="10">
        <v>0</v>
      </c>
    </row>
    <row r="960" spans="1:9" s="2" customFormat="1" ht="21.75" customHeight="1">
      <c r="A960" s="8" t="s">
        <v>37</v>
      </c>
      <c r="B960" s="8" t="s">
        <v>39</v>
      </c>
      <c r="C960" s="9" t="str">
        <f t="shared" si="14"/>
        <v>230097</v>
      </c>
      <c r="D960" s="9" t="str">
        <f>"230914002"</f>
        <v>230914002</v>
      </c>
      <c r="E960" s="10">
        <v>0</v>
      </c>
      <c r="F960" s="10"/>
      <c r="G960" s="10">
        <v>0</v>
      </c>
      <c r="H960" s="10"/>
      <c r="I960" s="10">
        <v>0</v>
      </c>
    </row>
    <row r="961" spans="1:9" s="3" customFormat="1" ht="21.75" customHeight="1">
      <c r="A961" s="8" t="s">
        <v>37</v>
      </c>
      <c r="B961" s="8" t="s">
        <v>39</v>
      </c>
      <c r="C961" s="9" t="str">
        <f t="shared" si="14"/>
        <v>230097</v>
      </c>
      <c r="D961" s="9" t="str">
        <f>"230914003"</f>
        <v>230914003</v>
      </c>
      <c r="E961" s="10">
        <v>0</v>
      </c>
      <c r="F961" s="10"/>
      <c r="G961" s="10">
        <v>0</v>
      </c>
      <c r="H961" s="10"/>
      <c r="I961" s="10">
        <v>0</v>
      </c>
    </row>
    <row r="962" spans="1:9" s="2" customFormat="1" ht="21.75" customHeight="1">
      <c r="A962" s="8" t="s">
        <v>37</v>
      </c>
      <c r="B962" s="8" t="s">
        <v>39</v>
      </c>
      <c r="C962" s="9" t="str">
        <f t="shared" si="14"/>
        <v>230097</v>
      </c>
      <c r="D962" s="9" t="str">
        <f>"230914004"</f>
        <v>230914004</v>
      </c>
      <c r="E962" s="10">
        <v>0</v>
      </c>
      <c r="F962" s="10"/>
      <c r="G962" s="10">
        <v>0</v>
      </c>
      <c r="H962" s="10"/>
      <c r="I962" s="10">
        <v>0</v>
      </c>
    </row>
    <row r="963" spans="1:9" s="2" customFormat="1" ht="21.75" customHeight="1">
      <c r="A963" s="8" t="s">
        <v>37</v>
      </c>
      <c r="B963" s="8" t="s">
        <v>39</v>
      </c>
      <c r="C963" s="9" t="str">
        <f t="shared" si="14"/>
        <v>230097</v>
      </c>
      <c r="D963" s="9" t="str">
        <f>"230914008"</f>
        <v>230914008</v>
      </c>
      <c r="E963" s="10">
        <v>0</v>
      </c>
      <c r="F963" s="10"/>
      <c r="G963" s="10">
        <v>0</v>
      </c>
      <c r="H963" s="10"/>
      <c r="I963" s="10">
        <v>0</v>
      </c>
    </row>
    <row r="964" spans="1:9" s="2" customFormat="1" ht="21.75" customHeight="1">
      <c r="A964" s="8" t="s">
        <v>37</v>
      </c>
      <c r="B964" s="8" t="s">
        <v>39</v>
      </c>
      <c r="C964" s="9" t="str">
        <f t="shared" si="14"/>
        <v>230097</v>
      </c>
      <c r="D964" s="9" t="str">
        <f>"230914014"</f>
        <v>230914014</v>
      </c>
      <c r="E964" s="10">
        <v>0</v>
      </c>
      <c r="F964" s="10"/>
      <c r="G964" s="10">
        <v>0</v>
      </c>
      <c r="H964" s="10"/>
      <c r="I964" s="10">
        <v>0</v>
      </c>
    </row>
    <row r="965" spans="1:9" s="2" customFormat="1" ht="21.75" customHeight="1">
      <c r="A965" s="8" t="s">
        <v>37</v>
      </c>
      <c r="B965" s="8" t="s">
        <v>39</v>
      </c>
      <c r="C965" s="9" t="str">
        <f t="shared" si="14"/>
        <v>230097</v>
      </c>
      <c r="D965" s="9" t="str">
        <f>"230914101"</f>
        <v>230914101</v>
      </c>
      <c r="E965" s="10">
        <v>0</v>
      </c>
      <c r="F965" s="10"/>
      <c r="G965" s="10">
        <v>0</v>
      </c>
      <c r="H965" s="10"/>
      <c r="I965" s="10">
        <v>0</v>
      </c>
    </row>
    <row r="966" spans="1:9" s="2" customFormat="1" ht="21.75" customHeight="1">
      <c r="A966" s="8" t="s">
        <v>37</v>
      </c>
      <c r="B966" s="8" t="s">
        <v>39</v>
      </c>
      <c r="C966" s="9" t="str">
        <f t="shared" ref="C966:C1005" si="15">"230097"</f>
        <v>230097</v>
      </c>
      <c r="D966" s="9" t="str">
        <f>"230914105"</f>
        <v>230914105</v>
      </c>
      <c r="E966" s="10">
        <v>0</v>
      </c>
      <c r="F966" s="10"/>
      <c r="G966" s="10">
        <v>0</v>
      </c>
      <c r="H966" s="10"/>
      <c r="I966" s="10">
        <v>0</v>
      </c>
    </row>
    <row r="967" spans="1:9" s="2" customFormat="1" ht="21.75" customHeight="1">
      <c r="A967" s="8" t="s">
        <v>37</v>
      </c>
      <c r="B967" s="8" t="s">
        <v>39</v>
      </c>
      <c r="C967" s="9" t="str">
        <f t="shared" si="15"/>
        <v>230097</v>
      </c>
      <c r="D967" s="9" t="str">
        <f>"230914107"</f>
        <v>230914107</v>
      </c>
      <c r="E967" s="10">
        <v>0</v>
      </c>
      <c r="F967" s="10"/>
      <c r="G967" s="10">
        <v>0</v>
      </c>
      <c r="H967" s="10"/>
      <c r="I967" s="10">
        <v>0</v>
      </c>
    </row>
    <row r="968" spans="1:9" s="2" customFormat="1" ht="21.75" customHeight="1">
      <c r="A968" s="8" t="s">
        <v>37</v>
      </c>
      <c r="B968" s="8" t="s">
        <v>39</v>
      </c>
      <c r="C968" s="9" t="str">
        <f t="shared" si="15"/>
        <v>230097</v>
      </c>
      <c r="D968" s="9" t="str">
        <f>"230914115"</f>
        <v>230914115</v>
      </c>
      <c r="E968" s="10">
        <v>0</v>
      </c>
      <c r="F968" s="10"/>
      <c r="G968" s="10">
        <v>0</v>
      </c>
      <c r="H968" s="10"/>
      <c r="I968" s="10">
        <v>0</v>
      </c>
    </row>
    <row r="969" spans="1:9" s="2" customFormat="1" ht="21.75" customHeight="1">
      <c r="A969" s="8" t="s">
        <v>37</v>
      </c>
      <c r="B969" s="8" t="s">
        <v>39</v>
      </c>
      <c r="C969" s="9" t="str">
        <f t="shared" si="15"/>
        <v>230097</v>
      </c>
      <c r="D969" s="9" t="str">
        <f>"230914116"</f>
        <v>230914116</v>
      </c>
      <c r="E969" s="10">
        <v>0</v>
      </c>
      <c r="F969" s="10"/>
      <c r="G969" s="10">
        <v>0</v>
      </c>
      <c r="H969" s="10"/>
      <c r="I969" s="10">
        <v>0</v>
      </c>
    </row>
    <row r="970" spans="1:9" s="2" customFormat="1" ht="21.75" customHeight="1">
      <c r="A970" s="8" t="s">
        <v>37</v>
      </c>
      <c r="B970" s="8" t="s">
        <v>39</v>
      </c>
      <c r="C970" s="9" t="str">
        <f t="shared" si="15"/>
        <v>230097</v>
      </c>
      <c r="D970" s="9" t="str">
        <f>"230914117"</f>
        <v>230914117</v>
      </c>
      <c r="E970" s="10">
        <v>0</v>
      </c>
      <c r="F970" s="10"/>
      <c r="G970" s="10">
        <v>0</v>
      </c>
      <c r="H970" s="10"/>
      <c r="I970" s="10">
        <v>0</v>
      </c>
    </row>
    <row r="971" spans="1:9" s="2" customFormat="1" ht="21.75" customHeight="1">
      <c r="A971" s="8" t="s">
        <v>37</v>
      </c>
      <c r="B971" s="8" t="s">
        <v>39</v>
      </c>
      <c r="C971" s="9" t="str">
        <f t="shared" si="15"/>
        <v>230097</v>
      </c>
      <c r="D971" s="9" t="str">
        <f>"230914118"</f>
        <v>230914118</v>
      </c>
      <c r="E971" s="10">
        <v>0</v>
      </c>
      <c r="F971" s="10"/>
      <c r="G971" s="10">
        <v>0</v>
      </c>
      <c r="H971" s="10"/>
      <c r="I971" s="10">
        <v>0</v>
      </c>
    </row>
    <row r="972" spans="1:9" s="2" customFormat="1" ht="21.75" customHeight="1">
      <c r="A972" s="8" t="s">
        <v>37</v>
      </c>
      <c r="B972" s="8" t="s">
        <v>39</v>
      </c>
      <c r="C972" s="9" t="str">
        <f t="shared" si="15"/>
        <v>230097</v>
      </c>
      <c r="D972" s="9" t="str">
        <f>"230914123"</f>
        <v>230914123</v>
      </c>
      <c r="E972" s="10">
        <v>0</v>
      </c>
      <c r="F972" s="10"/>
      <c r="G972" s="10">
        <v>0</v>
      </c>
      <c r="H972" s="10"/>
      <c r="I972" s="10">
        <v>0</v>
      </c>
    </row>
    <row r="973" spans="1:9" s="3" customFormat="1" ht="21.75" customHeight="1">
      <c r="A973" s="8" t="s">
        <v>37</v>
      </c>
      <c r="B973" s="8" t="s">
        <v>39</v>
      </c>
      <c r="C973" s="9" t="str">
        <f t="shared" si="15"/>
        <v>230097</v>
      </c>
      <c r="D973" s="9" t="str">
        <f>"230914124"</f>
        <v>230914124</v>
      </c>
      <c r="E973" s="10">
        <v>0</v>
      </c>
      <c r="F973" s="10"/>
      <c r="G973" s="10">
        <v>0</v>
      </c>
      <c r="H973" s="10"/>
      <c r="I973" s="10">
        <v>0</v>
      </c>
    </row>
    <row r="974" spans="1:9" s="2" customFormat="1" ht="21.75" customHeight="1">
      <c r="A974" s="8" t="s">
        <v>37</v>
      </c>
      <c r="B974" s="8" t="s">
        <v>39</v>
      </c>
      <c r="C974" s="9" t="str">
        <f t="shared" si="15"/>
        <v>230097</v>
      </c>
      <c r="D974" s="9" t="str">
        <f>"230914125"</f>
        <v>230914125</v>
      </c>
      <c r="E974" s="10">
        <v>0</v>
      </c>
      <c r="F974" s="10"/>
      <c r="G974" s="10">
        <v>0</v>
      </c>
      <c r="H974" s="10"/>
      <c r="I974" s="10">
        <v>0</v>
      </c>
    </row>
    <row r="975" spans="1:9" s="2" customFormat="1" ht="21.75" customHeight="1">
      <c r="A975" s="8" t="s">
        <v>37</v>
      </c>
      <c r="B975" s="8" t="s">
        <v>39</v>
      </c>
      <c r="C975" s="9" t="str">
        <f t="shared" si="15"/>
        <v>230097</v>
      </c>
      <c r="D975" s="9" t="str">
        <f>"230914127"</f>
        <v>230914127</v>
      </c>
      <c r="E975" s="10">
        <v>0</v>
      </c>
      <c r="F975" s="10"/>
      <c r="G975" s="10">
        <v>0</v>
      </c>
      <c r="H975" s="10"/>
      <c r="I975" s="10">
        <v>0</v>
      </c>
    </row>
    <row r="976" spans="1:9" s="3" customFormat="1" ht="21.75" customHeight="1">
      <c r="A976" s="8" t="s">
        <v>37</v>
      </c>
      <c r="B976" s="8" t="s">
        <v>39</v>
      </c>
      <c r="C976" s="9" t="str">
        <f t="shared" si="15"/>
        <v>230097</v>
      </c>
      <c r="D976" s="9" t="str">
        <f>"230914207"</f>
        <v>230914207</v>
      </c>
      <c r="E976" s="10">
        <v>0</v>
      </c>
      <c r="F976" s="10"/>
      <c r="G976" s="10">
        <v>0</v>
      </c>
      <c r="H976" s="10"/>
      <c r="I976" s="10">
        <v>0</v>
      </c>
    </row>
    <row r="977" spans="1:9" s="2" customFormat="1" ht="21.75" customHeight="1">
      <c r="A977" s="8" t="s">
        <v>37</v>
      </c>
      <c r="B977" s="8" t="s">
        <v>39</v>
      </c>
      <c r="C977" s="9" t="str">
        <f t="shared" si="15"/>
        <v>230097</v>
      </c>
      <c r="D977" s="9" t="str">
        <f>"230914212"</f>
        <v>230914212</v>
      </c>
      <c r="E977" s="10">
        <v>0</v>
      </c>
      <c r="F977" s="10"/>
      <c r="G977" s="10">
        <v>0</v>
      </c>
      <c r="H977" s="10"/>
      <c r="I977" s="10">
        <v>0</v>
      </c>
    </row>
    <row r="978" spans="1:9" s="3" customFormat="1" ht="21.75" customHeight="1">
      <c r="A978" s="8" t="s">
        <v>37</v>
      </c>
      <c r="B978" s="8" t="s">
        <v>39</v>
      </c>
      <c r="C978" s="9" t="str">
        <f t="shared" si="15"/>
        <v>230097</v>
      </c>
      <c r="D978" s="9" t="str">
        <f>"230914215"</f>
        <v>230914215</v>
      </c>
      <c r="E978" s="10">
        <v>0</v>
      </c>
      <c r="F978" s="10"/>
      <c r="G978" s="10">
        <v>0</v>
      </c>
      <c r="H978" s="10"/>
      <c r="I978" s="10">
        <v>0</v>
      </c>
    </row>
    <row r="979" spans="1:9" s="2" customFormat="1" ht="21.75" customHeight="1">
      <c r="A979" s="8" t="s">
        <v>37</v>
      </c>
      <c r="B979" s="8" t="s">
        <v>39</v>
      </c>
      <c r="C979" s="9" t="str">
        <f t="shared" si="15"/>
        <v>230097</v>
      </c>
      <c r="D979" s="9" t="str">
        <f>"230914221"</f>
        <v>230914221</v>
      </c>
      <c r="E979" s="10">
        <v>0</v>
      </c>
      <c r="F979" s="10"/>
      <c r="G979" s="10">
        <v>0</v>
      </c>
      <c r="H979" s="10"/>
      <c r="I979" s="10">
        <v>0</v>
      </c>
    </row>
    <row r="980" spans="1:9" s="2" customFormat="1" ht="21.75" customHeight="1">
      <c r="A980" s="8" t="s">
        <v>37</v>
      </c>
      <c r="B980" s="8" t="s">
        <v>39</v>
      </c>
      <c r="C980" s="9" t="str">
        <f t="shared" si="15"/>
        <v>230097</v>
      </c>
      <c r="D980" s="9" t="str">
        <f>"230914226"</f>
        <v>230914226</v>
      </c>
      <c r="E980" s="10">
        <v>0</v>
      </c>
      <c r="F980" s="10"/>
      <c r="G980" s="10">
        <v>0</v>
      </c>
      <c r="H980" s="10"/>
      <c r="I980" s="10">
        <v>0</v>
      </c>
    </row>
    <row r="981" spans="1:9" s="2" customFormat="1" ht="21.75" customHeight="1">
      <c r="A981" s="8" t="s">
        <v>37</v>
      </c>
      <c r="B981" s="8" t="s">
        <v>39</v>
      </c>
      <c r="C981" s="9" t="str">
        <f t="shared" si="15"/>
        <v>230097</v>
      </c>
      <c r="D981" s="9" t="str">
        <f>"230914229"</f>
        <v>230914229</v>
      </c>
      <c r="E981" s="10">
        <v>0</v>
      </c>
      <c r="F981" s="10"/>
      <c r="G981" s="10">
        <v>0</v>
      </c>
      <c r="H981" s="10"/>
      <c r="I981" s="10">
        <v>0</v>
      </c>
    </row>
    <row r="982" spans="1:9" s="3" customFormat="1" ht="21.75" customHeight="1">
      <c r="A982" s="8" t="s">
        <v>37</v>
      </c>
      <c r="B982" s="8" t="s">
        <v>39</v>
      </c>
      <c r="C982" s="9" t="str">
        <f t="shared" si="15"/>
        <v>230097</v>
      </c>
      <c r="D982" s="9" t="str">
        <f>"230914301"</f>
        <v>230914301</v>
      </c>
      <c r="E982" s="10">
        <v>0</v>
      </c>
      <c r="F982" s="10"/>
      <c r="G982" s="10">
        <v>0</v>
      </c>
      <c r="H982" s="10"/>
      <c r="I982" s="10">
        <v>0</v>
      </c>
    </row>
    <row r="983" spans="1:9" s="2" customFormat="1" ht="21.75" customHeight="1">
      <c r="A983" s="8" t="s">
        <v>37</v>
      </c>
      <c r="B983" s="8" t="s">
        <v>39</v>
      </c>
      <c r="C983" s="9" t="str">
        <f t="shared" si="15"/>
        <v>230097</v>
      </c>
      <c r="D983" s="9" t="str">
        <f>"230914302"</f>
        <v>230914302</v>
      </c>
      <c r="E983" s="10">
        <v>0</v>
      </c>
      <c r="F983" s="10"/>
      <c r="G983" s="10">
        <v>0</v>
      </c>
      <c r="H983" s="10"/>
      <c r="I983" s="10">
        <v>0</v>
      </c>
    </row>
    <row r="984" spans="1:9" s="2" customFormat="1" ht="21.75" customHeight="1">
      <c r="A984" s="8" t="s">
        <v>37</v>
      </c>
      <c r="B984" s="8" t="s">
        <v>39</v>
      </c>
      <c r="C984" s="9" t="str">
        <f t="shared" si="15"/>
        <v>230097</v>
      </c>
      <c r="D984" s="9" t="str">
        <f>"230914303"</f>
        <v>230914303</v>
      </c>
      <c r="E984" s="10">
        <v>0</v>
      </c>
      <c r="F984" s="10"/>
      <c r="G984" s="10">
        <v>0</v>
      </c>
      <c r="H984" s="10"/>
      <c r="I984" s="10">
        <v>0</v>
      </c>
    </row>
    <row r="985" spans="1:9" s="2" customFormat="1" ht="21.75" customHeight="1">
      <c r="A985" s="8" t="s">
        <v>37</v>
      </c>
      <c r="B985" s="8" t="s">
        <v>39</v>
      </c>
      <c r="C985" s="9" t="str">
        <f t="shared" si="15"/>
        <v>230097</v>
      </c>
      <c r="D985" s="9" t="str">
        <f>"230914305"</f>
        <v>230914305</v>
      </c>
      <c r="E985" s="10">
        <v>0</v>
      </c>
      <c r="F985" s="10"/>
      <c r="G985" s="10">
        <v>0</v>
      </c>
      <c r="H985" s="10"/>
      <c r="I985" s="10">
        <v>0</v>
      </c>
    </row>
    <row r="986" spans="1:9" s="2" customFormat="1" ht="21.75" customHeight="1">
      <c r="A986" s="8" t="s">
        <v>37</v>
      </c>
      <c r="B986" s="8" t="s">
        <v>39</v>
      </c>
      <c r="C986" s="9" t="str">
        <f t="shared" si="15"/>
        <v>230097</v>
      </c>
      <c r="D986" s="9" t="str">
        <f>"230914306"</f>
        <v>230914306</v>
      </c>
      <c r="E986" s="10">
        <v>0</v>
      </c>
      <c r="F986" s="10"/>
      <c r="G986" s="10">
        <v>0</v>
      </c>
      <c r="H986" s="10"/>
      <c r="I986" s="10">
        <v>0</v>
      </c>
    </row>
    <row r="987" spans="1:9" s="2" customFormat="1" ht="21.75" customHeight="1">
      <c r="A987" s="8" t="s">
        <v>37</v>
      </c>
      <c r="B987" s="8" t="s">
        <v>39</v>
      </c>
      <c r="C987" s="9" t="str">
        <f t="shared" si="15"/>
        <v>230097</v>
      </c>
      <c r="D987" s="9" t="str">
        <f>"230914307"</f>
        <v>230914307</v>
      </c>
      <c r="E987" s="10">
        <v>0</v>
      </c>
      <c r="F987" s="10"/>
      <c r="G987" s="10">
        <v>0</v>
      </c>
      <c r="H987" s="10"/>
      <c r="I987" s="10">
        <v>0</v>
      </c>
    </row>
    <row r="988" spans="1:9" s="3" customFormat="1" ht="21.75" customHeight="1">
      <c r="A988" s="8" t="s">
        <v>37</v>
      </c>
      <c r="B988" s="8" t="s">
        <v>39</v>
      </c>
      <c r="C988" s="9" t="str">
        <f t="shared" si="15"/>
        <v>230097</v>
      </c>
      <c r="D988" s="9" t="str">
        <f>"230914308"</f>
        <v>230914308</v>
      </c>
      <c r="E988" s="10">
        <v>0</v>
      </c>
      <c r="F988" s="10"/>
      <c r="G988" s="10">
        <v>0</v>
      </c>
      <c r="H988" s="10"/>
      <c r="I988" s="10">
        <v>0</v>
      </c>
    </row>
    <row r="989" spans="1:9" s="3" customFormat="1" ht="21.75" customHeight="1">
      <c r="A989" s="8" t="s">
        <v>37</v>
      </c>
      <c r="B989" s="8" t="s">
        <v>39</v>
      </c>
      <c r="C989" s="9" t="str">
        <f t="shared" si="15"/>
        <v>230097</v>
      </c>
      <c r="D989" s="9" t="str">
        <f>"230914310"</f>
        <v>230914310</v>
      </c>
      <c r="E989" s="10">
        <v>0</v>
      </c>
      <c r="F989" s="10"/>
      <c r="G989" s="10">
        <v>0</v>
      </c>
      <c r="H989" s="10"/>
      <c r="I989" s="10">
        <v>0</v>
      </c>
    </row>
    <row r="990" spans="1:9" s="3" customFormat="1" ht="21.75" customHeight="1">
      <c r="A990" s="8" t="s">
        <v>37</v>
      </c>
      <c r="B990" s="8" t="s">
        <v>39</v>
      </c>
      <c r="C990" s="9" t="str">
        <f t="shared" si="15"/>
        <v>230097</v>
      </c>
      <c r="D990" s="9" t="str">
        <f>"230914314"</f>
        <v>230914314</v>
      </c>
      <c r="E990" s="10">
        <v>0</v>
      </c>
      <c r="F990" s="10"/>
      <c r="G990" s="10">
        <v>0</v>
      </c>
      <c r="H990" s="10"/>
      <c r="I990" s="10">
        <v>0</v>
      </c>
    </row>
    <row r="991" spans="1:9" s="2" customFormat="1" ht="21.75" customHeight="1">
      <c r="A991" s="8" t="s">
        <v>37</v>
      </c>
      <c r="B991" s="8" t="s">
        <v>39</v>
      </c>
      <c r="C991" s="9" t="str">
        <f t="shared" si="15"/>
        <v>230097</v>
      </c>
      <c r="D991" s="9" t="str">
        <f>"230914317"</f>
        <v>230914317</v>
      </c>
      <c r="E991" s="10">
        <v>0</v>
      </c>
      <c r="F991" s="10"/>
      <c r="G991" s="10">
        <v>0</v>
      </c>
      <c r="H991" s="10"/>
      <c r="I991" s="10">
        <v>0</v>
      </c>
    </row>
    <row r="992" spans="1:9" s="2" customFormat="1" ht="21.75" customHeight="1">
      <c r="A992" s="8" t="s">
        <v>37</v>
      </c>
      <c r="B992" s="8" t="s">
        <v>39</v>
      </c>
      <c r="C992" s="9" t="str">
        <f t="shared" si="15"/>
        <v>230097</v>
      </c>
      <c r="D992" s="9" t="str">
        <f>"230914321"</f>
        <v>230914321</v>
      </c>
      <c r="E992" s="10">
        <v>0</v>
      </c>
      <c r="F992" s="10"/>
      <c r="G992" s="10">
        <v>0</v>
      </c>
      <c r="H992" s="10"/>
      <c r="I992" s="10">
        <v>0</v>
      </c>
    </row>
    <row r="993" spans="1:9" s="2" customFormat="1" ht="21.75" customHeight="1">
      <c r="A993" s="8" t="s">
        <v>37</v>
      </c>
      <c r="B993" s="8" t="s">
        <v>39</v>
      </c>
      <c r="C993" s="9" t="str">
        <f t="shared" si="15"/>
        <v>230097</v>
      </c>
      <c r="D993" s="9" t="str">
        <f>"230914322"</f>
        <v>230914322</v>
      </c>
      <c r="E993" s="10">
        <v>0</v>
      </c>
      <c r="F993" s="10"/>
      <c r="G993" s="10">
        <v>0</v>
      </c>
      <c r="H993" s="10"/>
      <c r="I993" s="10">
        <v>0</v>
      </c>
    </row>
    <row r="994" spans="1:9" s="2" customFormat="1" ht="21.75" customHeight="1">
      <c r="A994" s="8" t="s">
        <v>37</v>
      </c>
      <c r="B994" s="8" t="s">
        <v>39</v>
      </c>
      <c r="C994" s="9" t="str">
        <f t="shared" si="15"/>
        <v>230097</v>
      </c>
      <c r="D994" s="9" t="str">
        <f>"230914402"</f>
        <v>230914402</v>
      </c>
      <c r="E994" s="10">
        <v>0</v>
      </c>
      <c r="F994" s="10"/>
      <c r="G994" s="10">
        <v>0</v>
      </c>
      <c r="H994" s="10"/>
      <c r="I994" s="10">
        <v>0</v>
      </c>
    </row>
    <row r="995" spans="1:9" s="2" customFormat="1" ht="21.75" customHeight="1">
      <c r="A995" s="8" t="s">
        <v>37</v>
      </c>
      <c r="B995" s="8" t="s">
        <v>39</v>
      </c>
      <c r="C995" s="9" t="str">
        <f t="shared" si="15"/>
        <v>230097</v>
      </c>
      <c r="D995" s="9" t="str">
        <f>"230914403"</f>
        <v>230914403</v>
      </c>
      <c r="E995" s="10">
        <v>0</v>
      </c>
      <c r="F995" s="10"/>
      <c r="G995" s="10">
        <v>0</v>
      </c>
      <c r="H995" s="10"/>
      <c r="I995" s="10">
        <v>0</v>
      </c>
    </row>
    <row r="996" spans="1:9" s="3" customFormat="1" ht="21.75" customHeight="1">
      <c r="A996" s="8" t="s">
        <v>37</v>
      </c>
      <c r="B996" s="8" t="s">
        <v>39</v>
      </c>
      <c r="C996" s="9" t="str">
        <f t="shared" si="15"/>
        <v>230097</v>
      </c>
      <c r="D996" s="9" t="str">
        <f>"230914412"</f>
        <v>230914412</v>
      </c>
      <c r="E996" s="10">
        <v>0</v>
      </c>
      <c r="F996" s="10"/>
      <c r="G996" s="10">
        <v>0</v>
      </c>
      <c r="H996" s="10"/>
      <c r="I996" s="10">
        <v>0</v>
      </c>
    </row>
    <row r="997" spans="1:9" s="3" customFormat="1" ht="21.75" customHeight="1">
      <c r="A997" s="8" t="s">
        <v>37</v>
      </c>
      <c r="B997" s="8" t="s">
        <v>39</v>
      </c>
      <c r="C997" s="9" t="str">
        <f t="shared" si="15"/>
        <v>230097</v>
      </c>
      <c r="D997" s="9" t="str">
        <f>"230914413"</f>
        <v>230914413</v>
      </c>
      <c r="E997" s="10">
        <v>0</v>
      </c>
      <c r="F997" s="10"/>
      <c r="G997" s="10">
        <v>0</v>
      </c>
      <c r="H997" s="10"/>
      <c r="I997" s="10">
        <v>0</v>
      </c>
    </row>
    <row r="998" spans="1:9" s="2" customFormat="1" ht="21.75" customHeight="1">
      <c r="A998" s="8" t="s">
        <v>37</v>
      </c>
      <c r="B998" s="8" t="s">
        <v>39</v>
      </c>
      <c r="C998" s="9" t="str">
        <f t="shared" si="15"/>
        <v>230097</v>
      </c>
      <c r="D998" s="9" t="str">
        <f>"230914417"</f>
        <v>230914417</v>
      </c>
      <c r="E998" s="10">
        <v>0</v>
      </c>
      <c r="F998" s="10"/>
      <c r="G998" s="10">
        <v>0</v>
      </c>
      <c r="H998" s="10"/>
      <c r="I998" s="10">
        <v>0</v>
      </c>
    </row>
    <row r="999" spans="1:9" s="2" customFormat="1" ht="21.75" customHeight="1">
      <c r="A999" s="8" t="s">
        <v>37</v>
      </c>
      <c r="B999" s="8" t="s">
        <v>39</v>
      </c>
      <c r="C999" s="9" t="str">
        <f t="shared" si="15"/>
        <v>230097</v>
      </c>
      <c r="D999" s="9" t="str">
        <f>"230914420"</f>
        <v>230914420</v>
      </c>
      <c r="E999" s="10">
        <v>0</v>
      </c>
      <c r="F999" s="10"/>
      <c r="G999" s="10">
        <v>0</v>
      </c>
      <c r="H999" s="10"/>
      <c r="I999" s="10">
        <v>0</v>
      </c>
    </row>
    <row r="1000" spans="1:9" s="3" customFormat="1" ht="21.75" customHeight="1">
      <c r="A1000" s="8" t="s">
        <v>37</v>
      </c>
      <c r="B1000" s="8" t="s">
        <v>39</v>
      </c>
      <c r="C1000" s="9" t="str">
        <f t="shared" si="15"/>
        <v>230097</v>
      </c>
      <c r="D1000" s="9" t="str">
        <f>"230914428"</f>
        <v>230914428</v>
      </c>
      <c r="E1000" s="10">
        <v>0</v>
      </c>
      <c r="F1000" s="10"/>
      <c r="G1000" s="10">
        <v>0</v>
      </c>
      <c r="H1000" s="10"/>
      <c r="I1000" s="10">
        <v>0</v>
      </c>
    </row>
    <row r="1001" spans="1:9" s="2" customFormat="1" ht="21.75" customHeight="1">
      <c r="A1001" s="8" t="s">
        <v>37</v>
      </c>
      <c r="B1001" s="8" t="s">
        <v>39</v>
      </c>
      <c r="C1001" s="9" t="str">
        <f t="shared" si="15"/>
        <v>230097</v>
      </c>
      <c r="D1001" s="9" t="str">
        <f>"230914430"</f>
        <v>230914430</v>
      </c>
      <c r="E1001" s="10">
        <v>0</v>
      </c>
      <c r="F1001" s="10"/>
      <c r="G1001" s="10">
        <v>0</v>
      </c>
      <c r="H1001" s="10"/>
      <c r="I1001" s="10">
        <v>0</v>
      </c>
    </row>
    <row r="1002" spans="1:9" s="2" customFormat="1" ht="21.75" customHeight="1">
      <c r="A1002" s="8" t="s">
        <v>37</v>
      </c>
      <c r="B1002" s="8" t="s">
        <v>39</v>
      </c>
      <c r="C1002" s="9" t="str">
        <f t="shared" si="15"/>
        <v>230097</v>
      </c>
      <c r="D1002" s="9" t="str">
        <f>"230914504"</f>
        <v>230914504</v>
      </c>
      <c r="E1002" s="10">
        <v>0</v>
      </c>
      <c r="F1002" s="10"/>
      <c r="G1002" s="10">
        <v>0</v>
      </c>
      <c r="H1002" s="10"/>
      <c r="I1002" s="10">
        <v>0</v>
      </c>
    </row>
    <row r="1003" spans="1:9" s="3" customFormat="1" ht="21.75" customHeight="1">
      <c r="A1003" s="8" t="s">
        <v>37</v>
      </c>
      <c r="B1003" s="8" t="s">
        <v>39</v>
      </c>
      <c r="C1003" s="9" t="str">
        <f t="shared" si="15"/>
        <v>230097</v>
      </c>
      <c r="D1003" s="9" t="str">
        <f>"230914528"</f>
        <v>230914528</v>
      </c>
      <c r="E1003" s="10">
        <v>0</v>
      </c>
      <c r="F1003" s="10"/>
      <c r="G1003" s="10">
        <v>0</v>
      </c>
      <c r="H1003" s="10"/>
      <c r="I1003" s="10">
        <v>0</v>
      </c>
    </row>
    <row r="1004" spans="1:9" s="2" customFormat="1" ht="21.75" customHeight="1">
      <c r="A1004" s="8" t="s">
        <v>37</v>
      </c>
      <c r="B1004" s="8" t="s">
        <v>39</v>
      </c>
      <c r="C1004" s="9" t="str">
        <f t="shared" si="15"/>
        <v>230097</v>
      </c>
      <c r="D1004" s="9" t="str">
        <f>"230914602"</f>
        <v>230914602</v>
      </c>
      <c r="E1004" s="10">
        <v>0</v>
      </c>
      <c r="F1004" s="10"/>
      <c r="G1004" s="10">
        <v>0</v>
      </c>
      <c r="H1004" s="10"/>
      <c r="I1004" s="10">
        <v>0</v>
      </c>
    </row>
    <row r="1005" spans="1:9" s="2" customFormat="1" ht="21.75" customHeight="1">
      <c r="A1005" s="8" t="s">
        <v>37</v>
      </c>
      <c r="B1005" s="8" t="s">
        <v>39</v>
      </c>
      <c r="C1005" s="9" t="str">
        <f t="shared" si="15"/>
        <v>230097</v>
      </c>
      <c r="D1005" s="9" t="str">
        <f>"230914604"</f>
        <v>230914604</v>
      </c>
      <c r="E1005" s="10">
        <v>0</v>
      </c>
      <c r="F1005" s="10"/>
      <c r="G1005" s="10">
        <v>0</v>
      </c>
      <c r="H1005" s="10"/>
      <c r="I1005" s="10">
        <v>0</v>
      </c>
    </row>
    <row r="1006" spans="1:9" s="1" customFormat="1" ht="21.75" customHeight="1">
      <c r="A1006" s="8" t="s">
        <v>37</v>
      </c>
      <c r="B1006" s="8" t="s">
        <v>40</v>
      </c>
      <c r="C1006" s="9" t="str">
        <f t="shared" ref="C1006:C1069" si="16">"230098"</f>
        <v>230098</v>
      </c>
      <c r="D1006" s="9" t="str">
        <f>"230915209"</f>
        <v>230915209</v>
      </c>
      <c r="E1006" s="10">
        <v>74.23</v>
      </c>
      <c r="F1006" s="10"/>
      <c r="G1006" s="10">
        <v>83.71</v>
      </c>
      <c r="H1006" s="10"/>
      <c r="I1006" s="10">
        <v>79.92</v>
      </c>
    </row>
    <row r="1007" spans="1:9" ht="21.75" customHeight="1">
      <c r="A1007" s="8" t="s">
        <v>37</v>
      </c>
      <c r="B1007" s="8" t="s">
        <v>40</v>
      </c>
      <c r="C1007" s="9" t="str">
        <f t="shared" si="16"/>
        <v>230098</v>
      </c>
      <c r="D1007" s="9" t="str">
        <f>"230914622"</f>
        <v>230914622</v>
      </c>
      <c r="E1007" s="10">
        <v>83.42</v>
      </c>
      <c r="F1007" s="10"/>
      <c r="G1007" s="10">
        <v>73.98</v>
      </c>
      <c r="H1007" s="10"/>
      <c r="I1007" s="10">
        <v>77.760000000000005</v>
      </c>
    </row>
    <row r="1008" spans="1:9" s="1" customFormat="1" ht="21.75" customHeight="1">
      <c r="A1008" s="8" t="s">
        <v>37</v>
      </c>
      <c r="B1008" s="8" t="s">
        <v>40</v>
      </c>
      <c r="C1008" s="9" t="str">
        <f t="shared" si="16"/>
        <v>230098</v>
      </c>
      <c r="D1008" s="9" t="str">
        <f>"230915412"</f>
        <v>230915412</v>
      </c>
      <c r="E1008" s="10">
        <v>73.08</v>
      </c>
      <c r="F1008" s="10"/>
      <c r="G1008" s="10">
        <v>80.459999999999994</v>
      </c>
      <c r="H1008" s="10"/>
      <c r="I1008" s="10">
        <v>77.510000000000005</v>
      </c>
    </row>
    <row r="1009" spans="1:9" ht="21.75" customHeight="1">
      <c r="A1009" s="8" t="s">
        <v>37</v>
      </c>
      <c r="B1009" s="8" t="s">
        <v>40</v>
      </c>
      <c r="C1009" s="9" t="str">
        <f t="shared" si="16"/>
        <v>230098</v>
      </c>
      <c r="D1009" s="9" t="str">
        <f>"230915401"</f>
        <v>230915401</v>
      </c>
      <c r="E1009" s="10">
        <v>78.27</v>
      </c>
      <c r="F1009" s="10"/>
      <c r="G1009" s="10">
        <v>74.63</v>
      </c>
      <c r="H1009" s="10"/>
      <c r="I1009" s="10">
        <v>76.09</v>
      </c>
    </row>
    <row r="1010" spans="1:9" ht="21.75" customHeight="1">
      <c r="A1010" s="8" t="s">
        <v>37</v>
      </c>
      <c r="B1010" s="8" t="s">
        <v>40</v>
      </c>
      <c r="C1010" s="9" t="str">
        <f t="shared" si="16"/>
        <v>230098</v>
      </c>
      <c r="D1010" s="9" t="str">
        <f>"230915118"</f>
        <v>230915118</v>
      </c>
      <c r="E1010" s="10">
        <v>82.53</v>
      </c>
      <c r="F1010" s="10"/>
      <c r="G1010" s="10">
        <v>71.48</v>
      </c>
      <c r="H1010" s="10"/>
      <c r="I1010" s="10">
        <v>75.900000000000006</v>
      </c>
    </row>
    <row r="1011" spans="1:9" s="1" customFormat="1" ht="21.75" customHeight="1">
      <c r="A1011" s="8" t="s">
        <v>37</v>
      </c>
      <c r="B1011" s="8" t="s">
        <v>40</v>
      </c>
      <c r="C1011" s="9" t="str">
        <f t="shared" si="16"/>
        <v>230098</v>
      </c>
      <c r="D1011" s="9" t="str">
        <f>"230914705"</f>
        <v>230914705</v>
      </c>
      <c r="E1011" s="10">
        <v>78.14</v>
      </c>
      <c r="F1011" s="10"/>
      <c r="G1011" s="10">
        <v>74.05</v>
      </c>
      <c r="H1011" s="10"/>
      <c r="I1011" s="10">
        <v>75.69</v>
      </c>
    </row>
    <row r="1012" spans="1:9" ht="21.75" customHeight="1">
      <c r="A1012" s="8" t="s">
        <v>37</v>
      </c>
      <c r="B1012" s="8" t="s">
        <v>40</v>
      </c>
      <c r="C1012" s="9" t="str">
        <f t="shared" si="16"/>
        <v>230098</v>
      </c>
      <c r="D1012" s="9" t="str">
        <f>"230915004"</f>
        <v>230915004</v>
      </c>
      <c r="E1012" s="10">
        <v>80.22</v>
      </c>
      <c r="F1012" s="10"/>
      <c r="G1012" s="10">
        <v>72.66</v>
      </c>
      <c r="H1012" s="10"/>
      <c r="I1012" s="10">
        <v>75.680000000000007</v>
      </c>
    </row>
    <row r="1013" spans="1:9" s="1" customFormat="1" ht="21.75" customHeight="1">
      <c r="A1013" s="8" t="s">
        <v>37</v>
      </c>
      <c r="B1013" s="8" t="s">
        <v>40</v>
      </c>
      <c r="C1013" s="9" t="str">
        <f t="shared" si="16"/>
        <v>230098</v>
      </c>
      <c r="D1013" s="9" t="str">
        <f>"230915813"</f>
        <v>230915813</v>
      </c>
      <c r="E1013" s="10">
        <v>79.42</v>
      </c>
      <c r="F1013" s="10"/>
      <c r="G1013" s="10">
        <v>72.260000000000005</v>
      </c>
      <c r="H1013" s="10"/>
      <c r="I1013" s="10">
        <v>75.12</v>
      </c>
    </row>
    <row r="1014" spans="1:9" ht="21.75" customHeight="1">
      <c r="A1014" s="8" t="s">
        <v>37</v>
      </c>
      <c r="B1014" s="8" t="s">
        <v>40</v>
      </c>
      <c r="C1014" s="9" t="str">
        <f t="shared" si="16"/>
        <v>230098</v>
      </c>
      <c r="D1014" s="9" t="str">
        <f>"230916022"</f>
        <v>230916022</v>
      </c>
      <c r="E1014" s="10">
        <v>72.05</v>
      </c>
      <c r="F1014" s="10"/>
      <c r="G1014" s="10">
        <v>77.03</v>
      </c>
      <c r="H1014" s="10"/>
      <c r="I1014" s="10">
        <v>75.040000000000006</v>
      </c>
    </row>
    <row r="1015" spans="1:9" s="1" customFormat="1" ht="21.75" customHeight="1">
      <c r="A1015" s="8" t="s">
        <v>37</v>
      </c>
      <c r="B1015" s="8" t="s">
        <v>40</v>
      </c>
      <c r="C1015" s="9" t="str">
        <f t="shared" si="16"/>
        <v>230098</v>
      </c>
      <c r="D1015" s="9" t="str">
        <f>"230915905"</f>
        <v>230915905</v>
      </c>
      <c r="E1015" s="10">
        <v>72.709999999999994</v>
      </c>
      <c r="F1015" s="10"/>
      <c r="G1015" s="10">
        <v>76.069999999999993</v>
      </c>
      <c r="H1015" s="10"/>
      <c r="I1015" s="10">
        <v>74.73</v>
      </c>
    </row>
    <row r="1016" spans="1:9" s="1" customFormat="1" ht="21.75" customHeight="1">
      <c r="A1016" s="8" t="s">
        <v>37</v>
      </c>
      <c r="B1016" s="8" t="s">
        <v>40</v>
      </c>
      <c r="C1016" s="9" t="str">
        <f t="shared" si="16"/>
        <v>230098</v>
      </c>
      <c r="D1016" s="9" t="str">
        <f>"230915329"</f>
        <v>230915329</v>
      </c>
      <c r="E1016" s="10">
        <v>81.37</v>
      </c>
      <c r="F1016" s="10"/>
      <c r="G1016" s="10">
        <v>70.13</v>
      </c>
      <c r="H1016" s="10"/>
      <c r="I1016" s="10">
        <v>74.63</v>
      </c>
    </row>
    <row r="1017" spans="1:9" ht="21.75" customHeight="1">
      <c r="A1017" s="8" t="s">
        <v>37</v>
      </c>
      <c r="B1017" s="8" t="s">
        <v>40</v>
      </c>
      <c r="C1017" s="9" t="str">
        <f t="shared" si="16"/>
        <v>230098</v>
      </c>
      <c r="D1017" s="9" t="str">
        <f>"230915505"</f>
        <v>230915505</v>
      </c>
      <c r="E1017" s="10">
        <v>83.31</v>
      </c>
      <c r="F1017" s="10"/>
      <c r="G1017" s="10">
        <v>68.55</v>
      </c>
      <c r="H1017" s="10"/>
      <c r="I1017" s="10">
        <v>74.45</v>
      </c>
    </row>
    <row r="1018" spans="1:9" ht="21.75" customHeight="1">
      <c r="A1018" s="8" t="s">
        <v>37</v>
      </c>
      <c r="B1018" s="8" t="s">
        <v>40</v>
      </c>
      <c r="C1018" s="9" t="str">
        <f t="shared" si="16"/>
        <v>230098</v>
      </c>
      <c r="D1018" s="9" t="str">
        <f>"230915119"</f>
        <v>230915119</v>
      </c>
      <c r="E1018" s="10">
        <v>74.790000000000006</v>
      </c>
      <c r="F1018" s="10"/>
      <c r="G1018" s="10">
        <v>73.97</v>
      </c>
      <c r="H1018" s="10"/>
      <c r="I1018" s="10">
        <v>74.3</v>
      </c>
    </row>
    <row r="1019" spans="1:9" ht="21.75" customHeight="1">
      <c r="A1019" s="8" t="s">
        <v>37</v>
      </c>
      <c r="B1019" s="8" t="s">
        <v>40</v>
      </c>
      <c r="C1019" s="9" t="str">
        <f t="shared" si="16"/>
        <v>230098</v>
      </c>
      <c r="D1019" s="9" t="str">
        <f>"230915001"</f>
        <v>230915001</v>
      </c>
      <c r="E1019" s="10">
        <v>68.599999999999994</v>
      </c>
      <c r="F1019" s="10"/>
      <c r="G1019" s="10">
        <v>77.63</v>
      </c>
      <c r="H1019" s="10"/>
      <c r="I1019" s="10">
        <v>74.02</v>
      </c>
    </row>
    <row r="1020" spans="1:9" ht="21.75" customHeight="1">
      <c r="A1020" s="8" t="s">
        <v>37</v>
      </c>
      <c r="B1020" s="8" t="s">
        <v>40</v>
      </c>
      <c r="C1020" s="9" t="str">
        <f t="shared" si="16"/>
        <v>230098</v>
      </c>
      <c r="D1020" s="9" t="str">
        <f>"230915913"</f>
        <v>230915913</v>
      </c>
      <c r="E1020" s="10">
        <v>79.739999999999995</v>
      </c>
      <c r="F1020" s="10"/>
      <c r="G1020" s="10">
        <v>70.06</v>
      </c>
      <c r="H1020" s="10"/>
      <c r="I1020" s="10">
        <v>73.930000000000007</v>
      </c>
    </row>
    <row r="1021" spans="1:9" ht="21.75" customHeight="1">
      <c r="A1021" s="8" t="s">
        <v>37</v>
      </c>
      <c r="B1021" s="8" t="s">
        <v>40</v>
      </c>
      <c r="C1021" s="9" t="str">
        <f t="shared" si="16"/>
        <v>230098</v>
      </c>
      <c r="D1021" s="9" t="str">
        <f>"230915504"</f>
        <v>230915504</v>
      </c>
      <c r="E1021" s="10">
        <v>75.849999999999994</v>
      </c>
      <c r="F1021" s="10"/>
      <c r="G1021" s="10">
        <v>72.09</v>
      </c>
      <c r="H1021" s="10"/>
      <c r="I1021" s="10">
        <v>73.59</v>
      </c>
    </row>
    <row r="1022" spans="1:9" ht="21.75" customHeight="1">
      <c r="A1022" s="8" t="s">
        <v>37</v>
      </c>
      <c r="B1022" s="8" t="s">
        <v>40</v>
      </c>
      <c r="C1022" s="9" t="str">
        <f t="shared" si="16"/>
        <v>230098</v>
      </c>
      <c r="D1022" s="9" t="str">
        <f>"230915303"</f>
        <v>230915303</v>
      </c>
      <c r="E1022" s="10">
        <v>74.12</v>
      </c>
      <c r="F1022" s="10"/>
      <c r="G1022" s="10">
        <v>73.14</v>
      </c>
      <c r="H1022" s="10"/>
      <c r="I1022" s="10">
        <v>73.53</v>
      </c>
    </row>
    <row r="1023" spans="1:9" ht="21.75" customHeight="1">
      <c r="A1023" s="8" t="s">
        <v>37</v>
      </c>
      <c r="B1023" s="8" t="s">
        <v>40</v>
      </c>
      <c r="C1023" s="9" t="str">
        <f t="shared" si="16"/>
        <v>230098</v>
      </c>
      <c r="D1023" s="9" t="str">
        <f>"230915809"</f>
        <v>230915809</v>
      </c>
      <c r="E1023" s="10">
        <v>80.319999999999993</v>
      </c>
      <c r="F1023" s="10"/>
      <c r="G1023" s="10">
        <v>68.73</v>
      </c>
      <c r="H1023" s="10"/>
      <c r="I1023" s="10">
        <v>73.37</v>
      </c>
    </row>
    <row r="1024" spans="1:9" ht="21.75" customHeight="1">
      <c r="A1024" s="8" t="s">
        <v>37</v>
      </c>
      <c r="B1024" s="8" t="s">
        <v>40</v>
      </c>
      <c r="C1024" s="9" t="str">
        <f t="shared" si="16"/>
        <v>230098</v>
      </c>
      <c r="D1024" s="9" t="str">
        <f>"230915601"</f>
        <v>230915601</v>
      </c>
      <c r="E1024" s="10">
        <v>78.73</v>
      </c>
      <c r="F1024" s="10"/>
      <c r="G1024" s="10">
        <v>69.75</v>
      </c>
      <c r="H1024" s="10"/>
      <c r="I1024" s="10">
        <v>73.34</v>
      </c>
    </row>
    <row r="1025" spans="1:9" ht="21.75" customHeight="1">
      <c r="A1025" s="8" t="s">
        <v>37</v>
      </c>
      <c r="B1025" s="8" t="s">
        <v>40</v>
      </c>
      <c r="C1025" s="9" t="str">
        <f t="shared" si="16"/>
        <v>230098</v>
      </c>
      <c r="D1025" s="9" t="str">
        <f>"230915711"</f>
        <v>230915711</v>
      </c>
      <c r="E1025" s="10">
        <v>73.56</v>
      </c>
      <c r="F1025" s="10"/>
      <c r="G1025" s="10">
        <v>73.02</v>
      </c>
      <c r="H1025" s="10"/>
      <c r="I1025" s="10">
        <v>73.239999999999995</v>
      </c>
    </row>
    <row r="1026" spans="1:9" ht="21.75" customHeight="1">
      <c r="A1026" s="8" t="s">
        <v>37</v>
      </c>
      <c r="B1026" s="8" t="s">
        <v>40</v>
      </c>
      <c r="C1026" s="9" t="str">
        <f t="shared" si="16"/>
        <v>230098</v>
      </c>
      <c r="D1026" s="9" t="str">
        <f>"230915306"</f>
        <v>230915306</v>
      </c>
      <c r="E1026" s="10">
        <v>75.52</v>
      </c>
      <c r="F1026" s="10"/>
      <c r="G1026" s="10">
        <v>70.95</v>
      </c>
      <c r="H1026" s="10"/>
      <c r="I1026" s="10">
        <v>72.78</v>
      </c>
    </row>
    <row r="1027" spans="1:9" ht="21.75" customHeight="1">
      <c r="A1027" s="8" t="s">
        <v>37</v>
      </c>
      <c r="B1027" s="8" t="s">
        <v>40</v>
      </c>
      <c r="C1027" s="9" t="str">
        <f t="shared" si="16"/>
        <v>230098</v>
      </c>
      <c r="D1027" s="9" t="str">
        <f>"230914710"</f>
        <v>230914710</v>
      </c>
      <c r="E1027" s="10">
        <v>79.05</v>
      </c>
      <c r="F1027" s="10"/>
      <c r="G1027" s="10">
        <v>68.59</v>
      </c>
      <c r="H1027" s="10"/>
      <c r="I1027" s="10">
        <v>72.77</v>
      </c>
    </row>
    <row r="1028" spans="1:9" ht="21.75" customHeight="1">
      <c r="A1028" s="8" t="s">
        <v>37</v>
      </c>
      <c r="B1028" s="8" t="s">
        <v>40</v>
      </c>
      <c r="C1028" s="9" t="str">
        <f t="shared" si="16"/>
        <v>230098</v>
      </c>
      <c r="D1028" s="9" t="str">
        <f>"230915818"</f>
        <v>230915818</v>
      </c>
      <c r="E1028" s="10">
        <v>75.73</v>
      </c>
      <c r="F1028" s="10"/>
      <c r="G1028" s="10">
        <v>70.650000000000006</v>
      </c>
      <c r="H1028" s="10"/>
      <c r="I1028" s="10">
        <v>72.680000000000007</v>
      </c>
    </row>
    <row r="1029" spans="1:9" ht="21.75" customHeight="1">
      <c r="A1029" s="8" t="s">
        <v>37</v>
      </c>
      <c r="B1029" s="8" t="s">
        <v>40</v>
      </c>
      <c r="C1029" s="9" t="str">
        <f t="shared" si="16"/>
        <v>230098</v>
      </c>
      <c r="D1029" s="9" t="str">
        <f>"230915228"</f>
        <v>230915228</v>
      </c>
      <c r="E1029" s="10">
        <v>76.78</v>
      </c>
      <c r="F1029" s="10"/>
      <c r="G1029" s="10">
        <v>69.55</v>
      </c>
      <c r="H1029" s="10"/>
      <c r="I1029" s="10">
        <v>72.44</v>
      </c>
    </row>
    <row r="1030" spans="1:9" ht="21.75" customHeight="1">
      <c r="A1030" s="8" t="s">
        <v>37</v>
      </c>
      <c r="B1030" s="8" t="s">
        <v>40</v>
      </c>
      <c r="C1030" s="9" t="str">
        <f t="shared" si="16"/>
        <v>230098</v>
      </c>
      <c r="D1030" s="9" t="str">
        <f>"230914825"</f>
        <v>230914825</v>
      </c>
      <c r="E1030" s="10">
        <v>78.48</v>
      </c>
      <c r="F1030" s="10"/>
      <c r="G1030" s="10">
        <v>68.28</v>
      </c>
      <c r="H1030" s="10"/>
      <c r="I1030" s="10">
        <v>72.36</v>
      </c>
    </row>
    <row r="1031" spans="1:9" ht="21.75" customHeight="1">
      <c r="A1031" s="8" t="s">
        <v>37</v>
      </c>
      <c r="B1031" s="8" t="s">
        <v>40</v>
      </c>
      <c r="C1031" s="9" t="str">
        <f t="shared" si="16"/>
        <v>230098</v>
      </c>
      <c r="D1031" s="9" t="str">
        <f>"230915326"</f>
        <v>230915326</v>
      </c>
      <c r="E1031" s="10">
        <v>69.400000000000006</v>
      </c>
      <c r="F1031" s="10"/>
      <c r="G1031" s="10">
        <v>74.23</v>
      </c>
      <c r="H1031" s="10"/>
      <c r="I1031" s="10">
        <v>72.3</v>
      </c>
    </row>
    <row r="1032" spans="1:9" ht="21.75" customHeight="1">
      <c r="A1032" s="8" t="s">
        <v>37</v>
      </c>
      <c r="B1032" s="8" t="s">
        <v>40</v>
      </c>
      <c r="C1032" s="9" t="str">
        <f t="shared" si="16"/>
        <v>230098</v>
      </c>
      <c r="D1032" s="9" t="str">
        <f>"230915006"</f>
        <v>230915006</v>
      </c>
      <c r="E1032" s="10">
        <v>75.94</v>
      </c>
      <c r="F1032" s="10"/>
      <c r="G1032" s="10">
        <v>69.8</v>
      </c>
      <c r="H1032" s="10"/>
      <c r="I1032" s="10">
        <v>72.260000000000005</v>
      </c>
    </row>
    <row r="1033" spans="1:9" ht="21.75" customHeight="1">
      <c r="A1033" s="8" t="s">
        <v>37</v>
      </c>
      <c r="B1033" s="8" t="s">
        <v>40</v>
      </c>
      <c r="C1033" s="9" t="str">
        <f t="shared" si="16"/>
        <v>230098</v>
      </c>
      <c r="D1033" s="9" t="str">
        <f>"230915909"</f>
        <v>230915909</v>
      </c>
      <c r="E1033" s="10">
        <v>72.17</v>
      </c>
      <c r="F1033" s="10"/>
      <c r="G1033" s="10">
        <v>71.52</v>
      </c>
      <c r="H1033" s="10"/>
      <c r="I1033" s="10">
        <v>71.78</v>
      </c>
    </row>
    <row r="1034" spans="1:9" ht="21.75" customHeight="1">
      <c r="A1034" s="8" t="s">
        <v>37</v>
      </c>
      <c r="B1034" s="8" t="s">
        <v>40</v>
      </c>
      <c r="C1034" s="9" t="str">
        <f t="shared" si="16"/>
        <v>230098</v>
      </c>
      <c r="D1034" s="9" t="str">
        <f>"230916006"</f>
        <v>230916006</v>
      </c>
      <c r="E1034" s="10">
        <v>77.22</v>
      </c>
      <c r="F1034" s="10"/>
      <c r="G1034" s="10">
        <v>68.150000000000006</v>
      </c>
      <c r="H1034" s="10"/>
      <c r="I1034" s="10">
        <v>71.78</v>
      </c>
    </row>
    <row r="1035" spans="1:9" s="1" customFormat="1" ht="21.75" customHeight="1">
      <c r="A1035" s="8" t="s">
        <v>37</v>
      </c>
      <c r="B1035" s="8" t="s">
        <v>40</v>
      </c>
      <c r="C1035" s="9" t="str">
        <f t="shared" si="16"/>
        <v>230098</v>
      </c>
      <c r="D1035" s="9" t="str">
        <f>"230915425"</f>
        <v>230915425</v>
      </c>
      <c r="E1035" s="10">
        <v>68.260000000000005</v>
      </c>
      <c r="F1035" s="10"/>
      <c r="G1035" s="10">
        <v>74.09</v>
      </c>
      <c r="H1035" s="10"/>
      <c r="I1035" s="10">
        <v>71.760000000000005</v>
      </c>
    </row>
    <row r="1036" spans="1:9" s="1" customFormat="1" ht="21.75" customHeight="1">
      <c r="A1036" s="8" t="s">
        <v>37</v>
      </c>
      <c r="B1036" s="8" t="s">
        <v>40</v>
      </c>
      <c r="C1036" s="9" t="str">
        <f t="shared" si="16"/>
        <v>230098</v>
      </c>
      <c r="D1036" s="9" t="str">
        <f>"230915607"</f>
        <v>230915607</v>
      </c>
      <c r="E1036" s="10">
        <v>75.86</v>
      </c>
      <c r="F1036" s="10"/>
      <c r="G1036" s="10">
        <v>68.75</v>
      </c>
      <c r="H1036" s="10"/>
      <c r="I1036" s="10">
        <v>71.59</v>
      </c>
    </row>
    <row r="1037" spans="1:9" ht="21.75" customHeight="1">
      <c r="A1037" s="8" t="s">
        <v>37</v>
      </c>
      <c r="B1037" s="8" t="s">
        <v>40</v>
      </c>
      <c r="C1037" s="9" t="str">
        <f t="shared" si="16"/>
        <v>230098</v>
      </c>
      <c r="D1037" s="9" t="str">
        <f>"230915015"</f>
        <v>230915015</v>
      </c>
      <c r="E1037" s="10">
        <v>64.58</v>
      </c>
      <c r="F1037" s="10"/>
      <c r="G1037" s="10">
        <v>76.12</v>
      </c>
      <c r="H1037" s="10"/>
      <c r="I1037" s="10">
        <v>71.5</v>
      </c>
    </row>
    <row r="1038" spans="1:9" ht="21.75" customHeight="1">
      <c r="A1038" s="8" t="s">
        <v>37</v>
      </c>
      <c r="B1038" s="8" t="s">
        <v>40</v>
      </c>
      <c r="C1038" s="9" t="str">
        <f t="shared" si="16"/>
        <v>230098</v>
      </c>
      <c r="D1038" s="9" t="str">
        <f>"230915705"</f>
        <v>230915705</v>
      </c>
      <c r="E1038" s="10">
        <v>76.180000000000007</v>
      </c>
      <c r="F1038" s="10"/>
      <c r="G1038" s="10">
        <v>68.239999999999995</v>
      </c>
      <c r="H1038" s="10"/>
      <c r="I1038" s="10">
        <v>71.42</v>
      </c>
    </row>
    <row r="1039" spans="1:9" ht="21.75" customHeight="1">
      <c r="A1039" s="8" t="s">
        <v>37</v>
      </c>
      <c r="B1039" s="8" t="s">
        <v>40</v>
      </c>
      <c r="C1039" s="9" t="str">
        <f t="shared" si="16"/>
        <v>230098</v>
      </c>
      <c r="D1039" s="9" t="str">
        <f>"230915726"</f>
        <v>230915726</v>
      </c>
      <c r="E1039" s="10">
        <v>80.09</v>
      </c>
      <c r="F1039" s="10"/>
      <c r="G1039" s="10">
        <v>65.64</v>
      </c>
      <c r="H1039" s="10"/>
      <c r="I1039" s="10">
        <v>71.42</v>
      </c>
    </row>
    <row r="1040" spans="1:9" ht="21.75" customHeight="1">
      <c r="A1040" s="8" t="s">
        <v>37</v>
      </c>
      <c r="B1040" s="8" t="s">
        <v>40</v>
      </c>
      <c r="C1040" s="9" t="str">
        <f t="shared" si="16"/>
        <v>230098</v>
      </c>
      <c r="D1040" s="9" t="str">
        <f>"230914808"</f>
        <v>230914808</v>
      </c>
      <c r="E1040" s="10">
        <v>68.83</v>
      </c>
      <c r="F1040" s="10"/>
      <c r="G1040" s="10">
        <v>73.09</v>
      </c>
      <c r="H1040" s="10"/>
      <c r="I1040" s="10">
        <v>71.39</v>
      </c>
    </row>
    <row r="1041" spans="1:9" ht="21.75" customHeight="1">
      <c r="A1041" s="8" t="s">
        <v>37</v>
      </c>
      <c r="B1041" s="8" t="s">
        <v>40</v>
      </c>
      <c r="C1041" s="9" t="str">
        <f t="shared" si="16"/>
        <v>230098</v>
      </c>
      <c r="D1041" s="9" t="str">
        <f>"230915829"</f>
        <v>230915829</v>
      </c>
      <c r="E1041" s="10">
        <v>65.150000000000006</v>
      </c>
      <c r="F1041" s="10"/>
      <c r="G1041" s="10">
        <v>74.72</v>
      </c>
      <c r="H1041" s="10"/>
      <c r="I1041" s="10">
        <v>70.89</v>
      </c>
    </row>
    <row r="1042" spans="1:9" ht="21.75" customHeight="1">
      <c r="A1042" s="8" t="s">
        <v>37</v>
      </c>
      <c r="B1042" s="8" t="s">
        <v>40</v>
      </c>
      <c r="C1042" s="9" t="str">
        <f t="shared" si="16"/>
        <v>230098</v>
      </c>
      <c r="D1042" s="9" t="str">
        <f>"230915713"</f>
        <v>230915713</v>
      </c>
      <c r="E1042" s="10">
        <v>75.95</v>
      </c>
      <c r="F1042" s="10"/>
      <c r="G1042" s="10">
        <v>66.97</v>
      </c>
      <c r="H1042" s="10"/>
      <c r="I1042" s="10">
        <v>70.56</v>
      </c>
    </row>
    <row r="1043" spans="1:9" ht="21.75" customHeight="1">
      <c r="A1043" s="8" t="s">
        <v>37</v>
      </c>
      <c r="B1043" s="8" t="s">
        <v>40</v>
      </c>
      <c r="C1043" s="9" t="str">
        <f t="shared" si="16"/>
        <v>230098</v>
      </c>
      <c r="D1043" s="9" t="str">
        <f>"230914702"</f>
        <v>230914702</v>
      </c>
      <c r="E1043" s="10">
        <v>73.67</v>
      </c>
      <c r="F1043" s="10"/>
      <c r="G1043" s="10">
        <v>68.099999999999994</v>
      </c>
      <c r="H1043" s="10"/>
      <c r="I1043" s="10">
        <v>70.33</v>
      </c>
    </row>
    <row r="1044" spans="1:9" ht="21.75" customHeight="1">
      <c r="A1044" s="8" t="s">
        <v>37</v>
      </c>
      <c r="B1044" s="8" t="s">
        <v>40</v>
      </c>
      <c r="C1044" s="9" t="str">
        <f t="shared" si="16"/>
        <v>230098</v>
      </c>
      <c r="D1044" s="9" t="str">
        <f>"230914903"</f>
        <v>230914903</v>
      </c>
      <c r="E1044" s="10">
        <v>80.319999999999993</v>
      </c>
      <c r="F1044" s="10"/>
      <c r="G1044" s="10">
        <v>63.42</v>
      </c>
      <c r="H1044" s="10"/>
      <c r="I1044" s="10">
        <v>70.180000000000007</v>
      </c>
    </row>
    <row r="1045" spans="1:9" ht="21.75" customHeight="1">
      <c r="A1045" s="8" t="s">
        <v>37</v>
      </c>
      <c r="B1045" s="8" t="s">
        <v>40</v>
      </c>
      <c r="C1045" s="9" t="str">
        <f t="shared" si="16"/>
        <v>230098</v>
      </c>
      <c r="D1045" s="9" t="str">
        <f>"230915418"</f>
        <v>230915418</v>
      </c>
      <c r="E1045" s="10">
        <v>70.08</v>
      </c>
      <c r="F1045" s="10"/>
      <c r="G1045" s="10">
        <v>70.12</v>
      </c>
      <c r="H1045" s="10"/>
      <c r="I1045" s="10">
        <v>70.099999999999994</v>
      </c>
    </row>
    <row r="1046" spans="1:9" ht="21.75" customHeight="1">
      <c r="A1046" s="8" t="s">
        <v>37</v>
      </c>
      <c r="B1046" s="8" t="s">
        <v>40</v>
      </c>
      <c r="C1046" s="9" t="str">
        <f t="shared" si="16"/>
        <v>230098</v>
      </c>
      <c r="D1046" s="9" t="str">
        <f>"230914924"</f>
        <v>230914924</v>
      </c>
      <c r="E1046" s="10">
        <v>74.23</v>
      </c>
      <c r="F1046" s="10"/>
      <c r="G1046" s="10">
        <v>67</v>
      </c>
      <c r="H1046" s="10"/>
      <c r="I1046" s="10">
        <v>69.89</v>
      </c>
    </row>
    <row r="1047" spans="1:9" ht="21.75" customHeight="1">
      <c r="A1047" s="8" t="s">
        <v>37</v>
      </c>
      <c r="B1047" s="8" t="s">
        <v>40</v>
      </c>
      <c r="C1047" s="9" t="str">
        <f t="shared" si="16"/>
        <v>230098</v>
      </c>
      <c r="D1047" s="9" t="str">
        <f>"230915304"</f>
        <v>230915304</v>
      </c>
      <c r="E1047" s="10">
        <v>70.900000000000006</v>
      </c>
      <c r="F1047" s="10"/>
      <c r="G1047" s="10">
        <v>68.88</v>
      </c>
      <c r="H1047" s="10"/>
      <c r="I1047" s="10">
        <v>69.69</v>
      </c>
    </row>
    <row r="1048" spans="1:9" s="1" customFormat="1" ht="21.75" customHeight="1">
      <c r="A1048" s="8" t="s">
        <v>37</v>
      </c>
      <c r="B1048" s="8" t="s">
        <v>40</v>
      </c>
      <c r="C1048" s="9" t="str">
        <f t="shared" si="16"/>
        <v>230098</v>
      </c>
      <c r="D1048" s="9" t="str">
        <f>"230914902"</f>
        <v>230914902</v>
      </c>
      <c r="E1048" s="10">
        <v>70.33</v>
      </c>
      <c r="F1048" s="10"/>
      <c r="G1048" s="10">
        <v>69.040000000000006</v>
      </c>
      <c r="H1048" s="10"/>
      <c r="I1048" s="10">
        <v>69.56</v>
      </c>
    </row>
    <row r="1049" spans="1:9" s="1" customFormat="1" ht="21.75" customHeight="1">
      <c r="A1049" s="8" t="s">
        <v>37</v>
      </c>
      <c r="B1049" s="8" t="s">
        <v>40</v>
      </c>
      <c r="C1049" s="9" t="str">
        <f t="shared" si="16"/>
        <v>230098</v>
      </c>
      <c r="D1049" s="9" t="str">
        <f>"230915104"</f>
        <v>230915104</v>
      </c>
      <c r="E1049" s="10">
        <v>81.599999999999994</v>
      </c>
      <c r="F1049" s="10"/>
      <c r="G1049" s="10">
        <v>61.54</v>
      </c>
      <c r="H1049" s="10"/>
      <c r="I1049" s="10">
        <v>69.56</v>
      </c>
    </row>
    <row r="1050" spans="1:9" s="1" customFormat="1" ht="21.75" customHeight="1">
      <c r="A1050" s="8" t="s">
        <v>37</v>
      </c>
      <c r="B1050" s="8" t="s">
        <v>40</v>
      </c>
      <c r="C1050" s="9" t="str">
        <f t="shared" si="16"/>
        <v>230098</v>
      </c>
      <c r="D1050" s="9" t="str">
        <f>"230915107"</f>
        <v>230915107</v>
      </c>
      <c r="E1050" s="10">
        <v>64.569999999999993</v>
      </c>
      <c r="F1050" s="10"/>
      <c r="G1050" s="10">
        <v>72.819999999999993</v>
      </c>
      <c r="H1050" s="10"/>
      <c r="I1050" s="10">
        <v>69.52</v>
      </c>
    </row>
    <row r="1051" spans="1:9" ht="21.75" customHeight="1">
      <c r="A1051" s="8" t="s">
        <v>37</v>
      </c>
      <c r="B1051" s="8" t="s">
        <v>40</v>
      </c>
      <c r="C1051" s="9" t="str">
        <f t="shared" si="16"/>
        <v>230098</v>
      </c>
      <c r="D1051" s="9" t="str">
        <f>"230914904"</f>
        <v>230914904</v>
      </c>
      <c r="E1051" s="10">
        <v>75.27</v>
      </c>
      <c r="F1051" s="10"/>
      <c r="G1051" s="10">
        <v>65.3</v>
      </c>
      <c r="H1051" s="10"/>
      <c r="I1051" s="10">
        <v>69.290000000000006</v>
      </c>
    </row>
    <row r="1052" spans="1:9" ht="21.75" customHeight="1">
      <c r="A1052" s="8" t="s">
        <v>37</v>
      </c>
      <c r="B1052" s="8" t="s">
        <v>40</v>
      </c>
      <c r="C1052" s="9" t="str">
        <f t="shared" si="16"/>
        <v>230098</v>
      </c>
      <c r="D1052" s="9" t="str">
        <f>"230915426"</f>
        <v>230915426</v>
      </c>
      <c r="E1052" s="10">
        <v>74.349999999999994</v>
      </c>
      <c r="F1052" s="10"/>
      <c r="G1052" s="10">
        <v>65.89</v>
      </c>
      <c r="H1052" s="10"/>
      <c r="I1052" s="10">
        <v>69.27</v>
      </c>
    </row>
    <row r="1053" spans="1:9" s="1" customFormat="1" ht="21.75" customHeight="1">
      <c r="A1053" s="8" t="s">
        <v>37</v>
      </c>
      <c r="B1053" s="8" t="s">
        <v>40</v>
      </c>
      <c r="C1053" s="9" t="str">
        <f t="shared" si="16"/>
        <v>230098</v>
      </c>
      <c r="D1053" s="9" t="str">
        <f>"230915110"</f>
        <v>230915110</v>
      </c>
      <c r="E1053" s="10">
        <v>78.27</v>
      </c>
      <c r="F1053" s="10"/>
      <c r="G1053" s="10">
        <v>62.99</v>
      </c>
      <c r="H1053" s="10"/>
      <c r="I1053" s="10">
        <v>69.099999999999994</v>
      </c>
    </row>
    <row r="1054" spans="1:9" ht="21.75" customHeight="1">
      <c r="A1054" s="8" t="s">
        <v>37</v>
      </c>
      <c r="B1054" s="8" t="s">
        <v>40</v>
      </c>
      <c r="C1054" s="9" t="str">
        <f t="shared" si="16"/>
        <v>230098</v>
      </c>
      <c r="D1054" s="9" t="str">
        <f>"230914914"</f>
        <v>230914914</v>
      </c>
      <c r="E1054" s="10">
        <v>67.900000000000006</v>
      </c>
      <c r="F1054" s="10"/>
      <c r="G1054" s="10">
        <v>69.709999999999994</v>
      </c>
      <c r="H1054" s="10"/>
      <c r="I1054" s="10">
        <v>68.989999999999995</v>
      </c>
    </row>
    <row r="1055" spans="1:9" ht="21.75" customHeight="1">
      <c r="A1055" s="8" t="s">
        <v>37</v>
      </c>
      <c r="B1055" s="8" t="s">
        <v>40</v>
      </c>
      <c r="C1055" s="9" t="str">
        <f t="shared" si="16"/>
        <v>230098</v>
      </c>
      <c r="D1055" s="9" t="str">
        <f>"230915525"</f>
        <v>230915525</v>
      </c>
      <c r="E1055" s="10">
        <v>71.59</v>
      </c>
      <c r="F1055" s="10"/>
      <c r="G1055" s="10">
        <v>67.25</v>
      </c>
      <c r="H1055" s="10"/>
      <c r="I1055" s="10">
        <v>68.989999999999995</v>
      </c>
    </row>
    <row r="1056" spans="1:9" ht="21.75" customHeight="1">
      <c r="A1056" s="8" t="s">
        <v>37</v>
      </c>
      <c r="B1056" s="8" t="s">
        <v>40</v>
      </c>
      <c r="C1056" s="9" t="str">
        <f t="shared" si="16"/>
        <v>230098</v>
      </c>
      <c r="D1056" s="9" t="str">
        <f>"230915314"</f>
        <v>230915314</v>
      </c>
      <c r="E1056" s="10">
        <v>72.97</v>
      </c>
      <c r="F1056" s="10"/>
      <c r="G1056" s="10">
        <v>66.319999999999993</v>
      </c>
      <c r="H1056" s="10"/>
      <c r="I1056" s="10">
        <v>68.98</v>
      </c>
    </row>
    <row r="1057" spans="1:9" ht="21.75" customHeight="1">
      <c r="A1057" s="8" t="s">
        <v>37</v>
      </c>
      <c r="B1057" s="8" t="s">
        <v>40</v>
      </c>
      <c r="C1057" s="9" t="str">
        <f t="shared" si="16"/>
        <v>230098</v>
      </c>
      <c r="D1057" s="9" t="str">
        <f>"230915718"</f>
        <v>230915718</v>
      </c>
      <c r="E1057" s="10">
        <v>76.989999999999995</v>
      </c>
      <c r="F1057" s="10"/>
      <c r="G1057" s="10">
        <v>63.62</v>
      </c>
      <c r="H1057" s="10"/>
      <c r="I1057" s="10">
        <v>68.97</v>
      </c>
    </row>
    <row r="1058" spans="1:9" ht="21.75" customHeight="1">
      <c r="A1058" s="8" t="s">
        <v>37</v>
      </c>
      <c r="B1058" s="8" t="s">
        <v>40</v>
      </c>
      <c r="C1058" s="9" t="str">
        <f t="shared" si="16"/>
        <v>230098</v>
      </c>
      <c r="D1058" s="9" t="str">
        <f>"230915022"</f>
        <v>230915022</v>
      </c>
      <c r="E1058" s="10">
        <v>66.069999999999993</v>
      </c>
      <c r="F1058" s="10"/>
      <c r="G1058" s="10">
        <v>70.89</v>
      </c>
      <c r="H1058" s="10"/>
      <c r="I1058" s="10">
        <v>68.959999999999994</v>
      </c>
    </row>
    <row r="1059" spans="1:9" ht="21.75" customHeight="1">
      <c r="A1059" s="8" t="s">
        <v>37</v>
      </c>
      <c r="B1059" s="8" t="s">
        <v>40</v>
      </c>
      <c r="C1059" s="9" t="str">
        <f t="shared" si="16"/>
        <v>230098</v>
      </c>
      <c r="D1059" s="9" t="str">
        <f>"230915023"</f>
        <v>230915023</v>
      </c>
      <c r="E1059" s="10">
        <v>81.47</v>
      </c>
      <c r="F1059" s="10"/>
      <c r="G1059" s="10">
        <v>60.43</v>
      </c>
      <c r="H1059" s="10"/>
      <c r="I1059" s="10">
        <v>68.849999999999994</v>
      </c>
    </row>
    <row r="1060" spans="1:9" ht="21.75" customHeight="1">
      <c r="A1060" s="8" t="s">
        <v>37</v>
      </c>
      <c r="B1060" s="8" t="s">
        <v>40</v>
      </c>
      <c r="C1060" s="9" t="str">
        <f t="shared" si="16"/>
        <v>230098</v>
      </c>
      <c r="D1060" s="9" t="str">
        <f>"230914616"</f>
        <v>230914616</v>
      </c>
      <c r="E1060" s="10">
        <v>73.42</v>
      </c>
      <c r="F1060" s="10"/>
      <c r="G1060" s="10">
        <v>65.209999999999994</v>
      </c>
      <c r="H1060" s="10"/>
      <c r="I1060" s="10">
        <v>68.489999999999995</v>
      </c>
    </row>
    <row r="1061" spans="1:9" s="1" customFormat="1" ht="21.75" customHeight="1">
      <c r="A1061" s="8" t="s">
        <v>37</v>
      </c>
      <c r="B1061" s="8" t="s">
        <v>40</v>
      </c>
      <c r="C1061" s="9" t="str">
        <f t="shared" si="16"/>
        <v>230098</v>
      </c>
      <c r="D1061" s="9" t="str">
        <f>"230916009"</f>
        <v>230916009</v>
      </c>
      <c r="E1061" s="10">
        <v>65.489999999999995</v>
      </c>
      <c r="F1061" s="10"/>
      <c r="G1061" s="10">
        <v>70.489999999999995</v>
      </c>
      <c r="H1061" s="10"/>
      <c r="I1061" s="10">
        <v>68.489999999999995</v>
      </c>
    </row>
    <row r="1062" spans="1:9" ht="21.75" customHeight="1">
      <c r="A1062" s="8" t="s">
        <v>37</v>
      </c>
      <c r="B1062" s="8" t="s">
        <v>40</v>
      </c>
      <c r="C1062" s="9" t="str">
        <f t="shared" si="16"/>
        <v>230098</v>
      </c>
      <c r="D1062" s="9" t="str">
        <f>"230915205"</f>
        <v>230915205</v>
      </c>
      <c r="E1062" s="10">
        <v>74.58</v>
      </c>
      <c r="F1062" s="10"/>
      <c r="G1062" s="10">
        <v>64.400000000000006</v>
      </c>
      <c r="H1062" s="10"/>
      <c r="I1062" s="10">
        <v>68.47</v>
      </c>
    </row>
    <row r="1063" spans="1:9" ht="21.75" customHeight="1">
      <c r="A1063" s="8" t="s">
        <v>37</v>
      </c>
      <c r="B1063" s="8" t="s">
        <v>40</v>
      </c>
      <c r="C1063" s="9" t="str">
        <f t="shared" si="16"/>
        <v>230098</v>
      </c>
      <c r="D1063" s="9" t="str">
        <f>"230914916"</f>
        <v>230914916</v>
      </c>
      <c r="E1063" s="10">
        <v>74.8</v>
      </c>
      <c r="F1063" s="10"/>
      <c r="G1063" s="10">
        <v>64.040000000000006</v>
      </c>
      <c r="H1063" s="10"/>
      <c r="I1063" s="10">
        <v>68.34</v>
      </c>
    </row>
    <row r="1064" spans="1:9" ht="21.75" customHeight="1">
      <c r="A1064" s="8" t="s">
        <v>37</v>
      </c>
      <c r="B1064" s="8" t="s">
        <v>40</v>
      </c>
      <c r="C1064" s="9" t="str">
        <f t="shared" si="16"/>
        <v>230098</v>
      </c>
      <c r="D1064" s="9" t="str">
        <f>"230915212"</f>
        <v>230915212</v>
      </c>
      <c r="E1064" s="10">
        <v>76.41</v>
      </c>
      <c r="F1064" s="10"/>
      <c r="G1064" s="10">
        <v>62.93</v>
      </c>
      <c r="H1064" s="10"/>
      <c r="I1064" s="10">
        <v>68.319999999999993</v>
      </c>
    </row>
    <row r="1065" spans="1:9" ht="21.75" customHeight="1">
      <c r="A1065" s="8" t="s">
        <v>37</v>
      </c>
      <c r="B1065" s="8" t="s">
        <v>40</v>
      </c>
      <c r="C1065" s="9" t="str">
        <f t="shared" si="16"/>
        <v>230098</v>
      </c>
      <c r="D1065" s="9" t="str">
        <f>"230915615"</f>
        <v>230915615</v>
      </c>
      <c r="E1065" s="10">
        <v>74.23</v>
      </c>
      <c r="F1065" s="10"/>
      <c r="G1065" s="10">
        <v>64.34</v>
      </c>
      <c r="H1065" s="10"/>
      <c r="I1065" s="10">
        <v>68.3</v>
      </c>
    </row>
    <row r="1066" spans="1:9" ht="21.75" customHeight="1">
      <c r="A1066" s="8" t="s">
        <v>37</v>
      </c>
      <c r="B1066" s="8" t="s">
        <v>40</v>
      </c>
      <c r="C1066" s="9" t="str">
        <f t="shared" si="16"/>
        <v>230098</v>
      </c>
      <c r="D1066" s="9" t="str">
        <f>"230915706"</f>
        <v>230915706</v>
      </c>
      <c r="E1066" s="10">
        <v>72.400000000000006</v>
      </c>
      <c r="F1066" s="10"/>
      <c r="G1066" s="10">
        <v>65.400000000000006</v>
      </c>
      <c r="H1066" s="10"/>
      <c r="I1066" s="10">
        <v>68.2</v>
      </c>
    </row>
    <row r="1067" spans="1:9" s="1" customFormat="1" ht="21.75" customHeight="1">
      <c r="A1067" s="8" t="s">
        <v>37</v>
      </c>
      <c r="B1067" s="8" t="s">
        <v>40</v>
      </c>
      <c r="C1067" s="9" t="str">
        <f t="shared" si="16"/>
        <v>230098</v>
      </c>
      <c r="D1067" s="9" t="str">
        <f>"230914806"</f>
        <v>230914806</v>
      </c>
      <c r="E1067" s="10">
        <v>65.73</v>
      </c>
      <c r="F1067" s="10"/>
      <c r="G1067" s="10">
        <v>69.790000000000006</v>
      </c>
      <c r="H1067" s="10"/>
      <c r="I1067" s="10">
        <v>68.17</v>
      </c>
    </row>
    <row r="1068" spans="1:9" ht="21.75" customHeight="1">
      <c r="A1068" s="8" t="s">
        <v>37</v>
      </c>
      <c r="B1068" s="8" t="s">
        <v>40</v>
      </c>
      <c r="C1068" s="9" t="str">
        <f t="shared" si="16"/>
        <v>230098</v>
      </c>
      <c r="D1068" s="9" t="str">
        <f>"230916021"</f>
        <v>230916021</v>
      </c>
      <c r="E1068" s="10">
        <v>78.260000000000005</v>
      </c>
      <c r="F1068" s="10"/>
      <c r="G1068" s="10">
        <v>61.34</v>
      </c>
      <c r="H1068" s="10"/>
      <c r="I1068" s="10">
        <v>68.11</v>
      </c>
    </row>
    <row r="1069" spans="1:9" ht="21.75" customHeight="1">
      <c r="A1069" s="8" t="s">
        <v>37</v>
      </c>
      <c r="B1069" s="8" t="s">
        <v>40</v>
      </c>
      <c r="C1069" s="9" t="str">
        <f t="shared" si="16"/>
        <v>230098</v>
      </c>
      <c r="D1069" s="9" t="str">
        <f>"230914804"</f>
        <v>230914804</v>
      </c>
      <c r="E1069" s="10">
        <v>79.53</v>
      </c>
      <c r="F1069" s="10"/>
      <c r="G1069" s="10">
        <v>60.36</v>
      </c>
      <c r="H1069" s="10"/>
      <c r="I1069" s="10">
        <v>68.03</v>
      </c>
    </row>
    <row r="1070" spans="1:9" ht="21.75" customHeight="1">
      <c r="A1070" s="8" t="s">
        <v>37</v>
      </c>
      <c r="B1070" s="8" t="s">
        <v>40</v>
      </c>
      <c r="C1070" s="9" t="str">
        <f t="shared" ref="C1070:C1133" si="17">"230098"</f>
        <v>230098</v>
      </c>
      <c r="D1070" s="9" t="str">
        <f>"230916105"</f>
        <v>230916105</v>
      </c>
      <c r="E1070" s="10">
        <v>74.23</v>
      </c>
      <c r="F1070" s="10"/>
      <c r="G1070" s="10">
        <v>63.86</v>
      </c>
      <c r="H1070" s="10"/>
      <c r="I1070" s="10">
        <v>68.010000000000005</v>
      </c>
    </row>
    <row r="1071" spans="1:9" ht="21.75" customHeight="1">
      <c r="A1071" s="8" t="s">
        <v>37</v>
      </c>
      <c r="B1071" s="8" t="s">
        <v>40</v>
      </c>
      <c r="C1071" s="9" t="str">
        <f t="shared" si="17"/>
        <v>230098</v>
      </c>
      <c r="D1071" s="9" t="str">
        <f>"230915808"</f>
        <v>230915808</v>
      </c>
      <c r="E1071" s="10">
        <v>79.42</v>
      </c>
      <c r="F1071" s="10"/>
      <c r="G1071" s="10">
        <v>60.28</v>
      </c>
      <c r="H1071" s="10"/>
      <c r="I1071" s="10">
        <v>67.94</v>
      </c>
    </row>
    <row r="1072" spans="1:9" ht="21.75" customHeight="1">
      <c r="A1072" s="8" t="s">
        <v>37</v>
      </c>
      <c r="B1072" s="8" t="s">
        <v>40</v>
      </c>
      <c r="C1072" s="9" t="str">
        <f t="shared" si="17"/>
        <v>230098</v>
      </c>
      <c r="D1072" s="9" t="str">
        <f>"230914827"</f>
        <v>230914827</v>
      </c>
      <c r="E1072" s="10">
        <v>71.239999999999995</v>
      </c>
      <c r="F1072" s="10"/>
      <c r="G1072" s="10">
        <v>65.52</v>
      </c>
      <c r="H1072" s="10"/>
      <c r="I1072" s="10">
        <v>67.81</v>
      </c>
    </row>
    <row r="1073" spans="1:9" s="1" customFormat="1" ht="21.75" customHeight="1">
      <c r="A1073" s="8" t="s">
        <v>37</v>
      </c>
      <c r="B1073" s="8" t="s">
        <v>40</v>
      </c>
      <c r="C1073" s="9" t="str">
        <f t="shared" si="17"/>
        <v>230098</v>
      </c>
      <c r="D1073" s="9" t="str">
        <f>"230914824"</f>
        <v>230914824</v>
      </c>
      <c r="E1073" s="10">
        <v>69.739999999999995</v>
      </c>
      <c r="F1073" s="10"/>
      <c r="G1073" s="10">
        <v>66.48</v>
      </c>
      <c r="H1073" s="10"/>
      <c r="I1073" s="10">
        <v>67.78</v>
      </c>
    </row>
    <row r="1074" spans="1:9" s="1" customFormat="1" ht="21.75" customHeight="1">
      <c r="A1074" s="8" t="s">
        <v>37</v>
      </c>
      <c r="B1074" s="8" t="s">
        <v>40</v>
      </c>
      <c r="C1074" s="9" t="str">
        <f t="shared" si="17"/>
        <v>230098</v>
      </c>
      <c r="D1074" s="9" t="str">
        <f>"230916029"</f>
        <v>230916029</v>
      </c>
      <c r="E1074" s="10">
        <v>75.48</v>
      </c>
      <c r="F1074" s="10"/>
      <c r="G1074" s="10">
        <v>62.61</v>
      </c>
      <c r="H1074" s="10"/>
      <c r="I1074" s="10">
        <v>67.760000000000005</v>
      </c>
    </row>
    <row r="1075" spans="1:9" ht="21.75" customHeight="1">
      <c r="A1075" s="8" t="s">
        <v>37</v>
      </c>
      <c r="B1075" s="8" t="s">
        <v>40</v>
      </c>
      <c r="C1075" s="9" t="str">
        <f t="shared" si="17"/>
        <v>230098</v>
      </c>
      <c r="D1075" s="9" t="str">
        <f>"230915714"</f>
        <v>230915714</v>
      </c>
      <c r="E1075" s="10">
        <v>78.5</v>
      </c>
      <c r="F1075" s="10"/>
      <c r="G1075" s="10">
        <v>60.55</v>
      </c>
      <c r="H1075" s="10"/>
      <c r="I1075" s="10">
        <v>67.73</v>
      </c>
    </row>
    <row r="1076" spans="1:9" ht="21.75" customHeight="1">
      <c r="A1076" s="8" t="s">
        <v>37</v>
      </c>
      <c r="B1076" s="8" t="s">
        <v>40</v>
      </c>
      <c r="C1076" s="9" t="str">
        <f t="shared" si="17"/>
        <v>230098</v>
      </c>
      <c r="D1076" s="9" t="str">
        <f>"230914922"</f>
        <v>230914922</v>
      </c>
      <c r="E1076" s="10">
        <v>63.66</v>
      </c>
      <c r="F1076" s="10"/>
      <c r="G1076" s="10">
        <v>70.430000000000007</v>
      </c>
      <c r="H1076" s="10"/>
      <c r="I1076" s="10">
        <v>67.72</v>
      </c>
    </row>
    <row r="1077" spans="1:9" ht="21.75" customHeight="1">
      <c r="A1077" s="8" t="s">
        <v>37</v>
      </c>
      <c r="B1077" s="8" t="s">
        <v>40</v>
      </c>
      <c r="C1077" s="9" t="str">
        <f t="shared" si="17"/>
        <v>230098</v>
      </c>
      <c r="D1077" s="9" t="str">
        <f>"230914715"</f>
        <v>230914715</v>
      </c>
      <c r="E1077" s="10">
        <v>68.48</v>
      </c>
      <c r="F1077" s="10"/>
      <c r="G1077" s="10">
        <v>66.5</v>
      </c>
      <c r="H1077" s="10"/>
      <c r="I1077" s="10">
        <v>67.290000000000006</v>
      </c>
    </row>
    <row r="1078" spans="1:9" s="1" customFormat="1" ht="21.75" customHeight="1">
      <c r="A1078" s="8" t="s">
        <v>37</v>
      </c>
      <c r="B1078" s="8" t="s">
        <v>40</v>
      </c>
      <c r="C1078" s="9" t="str">
        <f t="shared" si="17"/>
        <v>230098</v>
      </c>
      <c r="D1078" s="9" t="str">
        <f>"230916111"</f>
        <v>230916111</v>
      </c>
      <c r="E1078" s="10">
        <v>67.69</v>
      </c>
      <c r="F1078" s="10"/>
      <c r="G1078" s="10">
        <v>66.88</v>
      </c>
      <c r="H1078" s="10"/>
      <c r="I1078" s="10">
        <v>67.2</v>
      </c>
    </row>
    <row r="1079" spans="1:9" s="1" customFormat="1" ht="21.75" customHeight="1">
      <c r="A1079" s="8" t="s">
        <v>37</v>
      </c>
      <c r="B1079" s="8" t="s">
        <v>40</v>
      </c>
      <c r="C1079" s="9" t="str">
        <f t="shared" si="17"/>
        <v>230098</v>
      </c>
      <c r="D1079" s="9" t="str">
        <f>"230914615"</f>
        <v>230914615</v>
      </c>
      <c r="E1079" s="10">
        <v>75.72</v>
      </c>
      <c r="F1079" s="10"/>
      <c r="G1079" s="10">
        <v>61.44</v>
      </c>
      <c r="H1079" s="10"/>
      <c r="I1079" s="10">
        <v>67.150000000000006</v>
      </c>
    </row>
    <row r="1080" spans="1:9" ht="21.75" customHeight="1">
      <c r="A1080" s="8" t="s">
        <v>37</v>
      </c>
      <c r="B1080" s="8" t="s">
        <v>40</v>
      </c>
      <c r="C1080" s="9" t="str">
        <f t="shared" si="17"/>
        <v>230098</v>
      </c>
      <c r="D1080" s="9" t="str">
        <f>"230915429"</f>
        <v>230915429</v>
      </c>
      <c r="E1080" s="10">
        <v>71.11</v>
      </c>
      <c r="F1080" s="10"/>
      <c r="G1080" s="10">
        <v>64.45</v>
      </c>
      <c r="H1080" s="10"/>
      <c r="I1080" s="10">
        <v>67.11</v>
      </c>
    </row>
    <row r="1081" spans="1:9" ht="21.75" customHeight="1">
      <c r="A1081" s="8" t="s">
        <v>37</v>
      </c>
      <c r="B1081" s="8" t="s">
        <v>40</v>
      </c>
      <c r="C1081" s="9" t="str">
        <f t="shared" si="17"/>
        <v>230098</v>
      </c>
      <c r="D1081" s="9" t="str">
        <f>"230915130"</f>
        <v>230915130</v>
      </c>
      <c r="E1081" s="10">
        <v>75.849999999999994</v>
      </c>
      <c r="F1081" s="10"/>
      <c r="G1081" s="10">
        <v>61</v>
      </c>
      <c r="H1081" s="10"/>
      <c r="I1081" s="10">
        <v>66.94</v>
      </c>
    </row>
    <row r="1082" spans="1:9" s="1" customFormat="1" ht="21.75" customHeight="1">
      <c r="A1082" s="8" t="s">
        <v>37</v>
      </c>
      <c r="B1082" s="8" t="s">
        <v>40</v>
      </c>
      <c r="C1082" s="9" t="str">
        <f t="shared" si="17"/>
        <v>230098</v>
      </c>
      <c r="D1082" s="9" t="str">
        <f>"230915403"</f>
        <v>230915403</v>
      </c>
      <c r="E1082" s="10">
        <v>71.930000000000007</v>
      </c>
      <c r="F1082" s="10"/>
      <c r="G1082" s="10">
        <v>63.44</v>
      </c>
      <c r="H1082" s="10"/>
      <c r="I1082" s="10">
        <v>66.84</v>
      </c>
    </row>
    <row r="1083" spans="1:9" ht="21.75" customHeight="1">
      <c r="A1083" s="8" t="s">
        <v>37</v>
      </c>
      <c r="B1083" s="8" t="s">
        <v>40</v>
      </c>
      <c r="C1083" s="9" t="str">
        <f t="shared" si="17"/>
        <v>230098</v>
      </c>
      <c r="D1083" s="9" t="str">
        <f>"230916115"</f>
        <v>230916115</v>
      </c>
      <c r="E1083" s="10">
        <v>68.709999999999994</v>
      </c>
      <c r="F1083" s="10"/>
      <c r="G1083" s="10">
        <v>65.489999999999995</v>
      </c>
      <c r="H1083" s="10"/>
      <c r="I1083" s="10">
        <v>66.78</v>
      </c>
    </row>
    <row r="1084" spans="1:9" s="1" customFormat="1" ht="21.75" customHeight="1">
      <c r="A1084" s="8" t="s">
        <v>37</v>
      </c>
      <c r="B1084" s="8" t="s">
        <v>40</v>
      </c>
      <c r="C1084" s="9" t="str">
        <f t="shared" si="17"/>
        <v>230098</v>
      </c>
      <c r="D1084" s="9" t="str">
        <f>"230915922"</f>
        <v>230915922</v>
      </c>
      <c r="E1084" s="10">
        <v>74.59</v>
      </c>
      <c r="F1084" s="10"/>
      <c r="G1084" s="10">
        <v>61.48</v>
      </c>
      <c r="H1084" s="10"/>
      <c r="I1084" s="10">
        <v>66.72</v>
      </c>
    </row>
    <row r="1085" spans="1:9" ht="21.75" customHeight="1">
      <c r="A1085" s="8" t="s">
        <v>37</v>
      </c>
      <c r="B1085" s="8" t="s">
        <v>40</v>
      </c>
      <c r="C1085" s="9" t="str">
        <f t="shared" si="17"/>
        <v>230098</v>
      </c>
      <c r="D1085" s="9" t="str">
        <f>"230915222"</f>
        <v>230915222</v>
      </c>
      <c r="E1085" s="10">
        <v>67.78</v>
      </c>
      <c r="F1085" s="10"/>
      <c r="G1085" s="10">
        <v>65.27</v>
      </c>
      <c r="H1085" s="10"/>
      <c r="I1085" s="10">
        <v>66.27</v>
      </c>
    </row>
    <row r="1086" spans="1:9" s="1" customFormat="1" ht="21.75" customHeight="1">
      <c r="A1086" s="8" t="s">
        <v>37</v>
      </c>
      <c r="B1086" s="8" t="s">
        <v>40</v>
      </c>
      <c r="C1086" s="9" t="str">
        <f t="shared" si="17"/>
        <v>230098</v>
      </c>
      <c r="D1086" s="9" t="str">
        <f>"230916109"</f>
        <v>230916109</v>
      </c>
      <c r="E1086" s="10">
        <v>68.72</v>
      </c>
      <c r="F1086" s="10"/>
      <c r="G1086" s="10">
        <v>64.56</v>
      </c>
      <c r="H1086" s="10"/>
      <c r="I1086" s="10">
        <v>66.22</v>
      </c>
    </row>
    <row r="1087" spans="1:9" ht="21.75" customHeight="1">
      <c r="A1087" s="8" t="s">
        <v>37</v>
      </c>
      <c r="B1087" s="8" t="s">
        <v>40</v>
      </c>
      <c r="C1087" s="9" t="str">
        <f t="shared" si="17"/>
        <v>230098</v>
      </c>
      <c r="D1087" s="9" t="str">
        <f>"230915123"</f>
        <v>230915123</v>
      </c>
      <c r="E1087" s="10">
        <v>68.37</v>
      </c>
      <c r="F1087" s="10"/>
      <c r="G1087" s="10">
        <v>64.760000000000005</v>
      </c>
      <c r="H1087" s="10"/>
      <c r="I1087" s="10">
        <v>66.2</v>
      </c>
    </row>
    <row r="1088" spans="1:9" ht="21.75" customHeight="1">
      <c r="A1088" s="8" t="s">
        <v>37</v>
      </c>
      <c r="B1088" s="8" t="s">
        <v>40</v>
      </c>
      <c r="C1088" s="9" t="str">
        <f t="shared" si="17"/>
        <v>230098</v>
      </c>
      <c r="D1088" s="9" t="str">
        <f>"230915320"</f>
        <v>230915320</v>
      </c>
      <c r="E1088" s="10">
        <v>69.75</v>
      </c>
      <c r="F1088" s="10"/>
      <c r="G1088" s="10">
        <v>63.63</v>
      </c>
      <c r="H1088" s="10"/>
      <c r="I1088" s="10">
        <v>66.08</v>
      </c>
    </row>
    <row r="1089" spans="1:9" ht="21.75" customHeight="1">
      <c r="A1089" s="8" t="s">
        <v>37</v>
      </c>
      <c r="B1089" s="8" t="s">
        <v>40</v>
      </c>
      <c r="C1089" s="9" t="str">
        <f t="shared" si="17"/>
        <v>230098</v>
      </c>
      <c r="D1089" s="9" t="str">
        <f>"230915324"</f>
        <v>230915324</v>
      </c>
      <c r="E1089" s="10">
        <v>75.5</v>
      </c>
      <c r="F1089" s="10"/>
      <c r="G1089" s="10">
        <v>59.73</v>
      </c>
      <c r="H1089" s="10"/>
      <c r="I1089" s="10">
        <v>66.040000000000006</v>
      </c>
    </row>
    <row r="1090" spans="1:9" ht="21.75" customHeight="1">
      <c r="A1090" s="8" t="s">
        <v>37</v>
      </c>
      <c r="B1090" s="8" t="s">
        <v>40</v>
      </c>
      <c r="C1090" s="9" t="str">
        <f t="shared" si="17"/>
        <v>230098</v>
      </c>
      <c r="D1090" s="9" t="str">
        <f>"230916014"</f>
        <v>230916014</v>
      </c>
      <c r="E1090" s="10">
        <v>73.89</v>
      </c>
      <c r="F1090" s="10"/>
      <c r="G1090" s="10">
        <v>60.67</v>
      </c>
      <c r="H1090" s="10"/>
      <c r="I1090" s="10">
        <v>65.959999999999994</v>
      </c>
    </row>
    <row r="1091" spans="1:9" ht="21.75" customHeight="1">
      <c r="A1091" s="8" t="s">
        <v>37</v>
      </c>
      <c r="B1091" s="8" t="s">
        <v>40</v>
      </c>
      <c r="C1091" s="9" t="str">
        <f t="shared" si="17"/>
        <v>230098</v>
      </c>
      <c r="D1091" s="9" t="str">
        <f>"230915721"</f>
        <v>230915721</v>
      </c>
      <c r="E1091" s="10">
        <v>74.22</v>
      </c>
      <c r="F1091" s="10"/>
      <c r="G1091" s="10">
        <v>60.41</v>
      </c>
      <c r="H1091" s="10"/>
      <c r="I1091" s="10">
        <v>65.930000000000007</v>
      </c>
    </row>
    <row r="1092" spans="1:9" s="1" customFormat="1" ht="21.75" customHeight="1">
      <c r="A1092" s="8" t="s">
        <v>37</v>
      </c>
      <c r="B1092" s="8" t="s">
        <v>40</v>
      </c>
      <c r="C1092" s="9" t="str">
        <f t="shared" si="17"/>
        <v>230098</v>
      </c>
      <c r="D1092" s="9" t="str">
        <f>"230914819"</f>
        <v>230914819</v>
      </c>
      <c r="E1092" s="10">
        <v>63.53</v>
      </c>
      <c r="F1092" s="10"/>
      <c r="G1092" s="10">
        <v>67.52</v>
      </c>
      <c r="H1092" s="10"/>
      <c r="I1092" s="10">
        <v>65.92</v>
      </c>
    </row>
    <row r="1093" spans="1:9" ht="21.75" customHeight="1">
      <c r="A1093" s="8" t="s">
        <v>37</v>
      </c>
      <c r="B1093" s="8" t="s">
        <v>40</v>
      </c>
      <c r="C1093" s="9" t="str">
        <f t="shared" si="17"/>
        <v>230098</v>
      </c>
      <c r="D1093" s="9" t="str">
        <f>"230916016"</f>
        <v>230916016</v>
      </c>
      <c r="E1093" s="10">
        <v>72.73</v>
      </c>
      <c r="F1093" s="10"/>
      <c r="G1093" s="10">
        <v>61.38</v>
      </c>
      <c r="H1093" s="10"/>
      <c r="I1093" s="10">
        <v>65.92</v>
      </c>
    </row>
    <row r="1094" spans="1:9" ht="21.75" customHeight="1">
      <c r="A1094" s="8" t="s">
        <v>37</v>
      </c>
      <c r="B1094" s="8" t="s">
        <v>40</v>
      </c>
      <c r="C1094" s="9" t="str">
        <f t="shared" si="17"/>
        <v>230098</v>
      </c>
      <c r="D1094" s="9" t="str">
        <f>"230916116"</f>
        <v>230916116</v>
      </c>
      <c r="E1094" s="10">
        <v>79.97</v>
      </c>
      <c r="F1094" s="10"/>
      <c r="G1094" s="10">
        <v>56.55</v>
      </c>
      <c r="H1094" s="10"/>
      <c r="I1094" s="10">
        <v>65.92</v>
      </c>
    </row>
    <row r="1095" spans="1:9" ht="21.75" customHeight="1">
      <c r="A1095" s="8" t="s">
        <v>37</v>
      </c>
      <c r="B1095" s="8" t="s">
        <v>40</v>
      </c>
      <c r="C1095" s="9" t="str">
        <f t="shared" si="17"/>
        <v>230098</v>
      </c>
      <c r="D1095" s="9" t="str">
        <f>"230915928"</f>
        <v>230915928</v>
      </c>
      <c r="E1095" s="10">
        <v>74.81</v>
      </c>
      <c r="F1095" s="10"/>
      <c r="G1095" s="10">
        <v>59.96</v>
      </c>
      <c r="H1095" s="10"/>
      <c r="I1095" s="10">
        <v>65.900000000000006</v>
      </c>
    </row>
    <row r="1096" spans="1:9" s="1" customFormat="1" ht="21.75" customHeight="1">
      <c r="A1096" s="8" t="s">
        <v>37</v>
      </c>
      <c r="B1096" s="8" t="s">
        <v>40</v>
      </c>
      <c r="C1096" s="9" t="str">
        <f t="shared" si="17"/>
        <v>230098</v>
      </c>
      <c r="D1096" s="9" t="str">
        <f>"230916005"</f>
        <v>230916005</v>
      </c>
      <c r="E1096" s="10">
        <v>75.150000000000006</v>
      </c>
      <c r="F1096" s="10"/>
      <c r="G1096" s="10">
        <v>59.5</v>
      </c>
      <c r="H1096" s="10"/>
      <c r="I1096" s="10">
        <v>65.760000000000005</v>
      </c>
    </row>
    <row r="1097" spans="1:9" ht="21.75" customHeight="1">
      <c r="A1097" s="8" t="s">
        <v>37</v>
      </c>
      <c r="B1097" s="8" t="s">
        <v>40</v>
      </c>
      <c r="C1097" s="9" t="str">
        <f t="shared" si="17"/>
        <v>230098</v>
      </c>
      <c r="D1097" s="9" t="str">
        <f>"230915416"</f>
        <v>230915416</v>
      </c>
      <c r="E1097" s="10">
        <v>78.489999999999995</v>
      </c>
      <c r="F1097" s="10"/>
      <c r="G1097" s="10">
        <v>56.9</v>
      </c>
      <c r="H1097" s="10"/>
      <c r="I1097" s="10">
        <v>65.540000000000006</v>
      </c>
    </row>
    <row r="1098" spans="1:9" s="1" customFormat="1" ht="21.75" customHeight="1">
      <c r="A1098" s="8" t="s">
        <v>37</v>
      </c>
      <c r="B1098" s="8" t="s">
        <v>40</v>
      </c>
      <c r="C1098" s="9" t="str">
        <f t="shared" si="17"/>
        <v>230098</v>
      </c>
      <c r="D1098" s="9" t="str">
        <f>"230915124"</f>
        <v>230915124</v>
      </c>
      <c r="E1098" s="10">
        <v>75.14</v>
      </c>
      <c r="F1098" s="10"/>
      <c r="G1098" s="10">
        <v>58.82</v>
      </c>
      <c r="H1098" s="10"/>
      <c r="I1098" s="10">
        <v>65.349999999999994</v>
      </c>
    </row>
    <row r="1099" spans="1:9" ht="21.75" customHeight="1">
      <c r="A1099" s="8" t="s">
        <v>37</v>
      </c>
      <c r="B1099" s="8" t="s">
        <v>40</v>
      </c>
      <c r="C1099" s="9" t="str">
        <f t="shared" si="17"/>
        <v>230098</v>
      </c>
      <c r="D1099" s="9" t="str">
        <f>"230915728"</f>
        <v>230915728</v>
      </c>
      <c r="E1099" s="10">
        <v>73.08</v>
      </c>
      <c r="F1099" s="10"/>
      <c r="G1099" s="10">
        <v>60.15</v>
      </c>
      <c r="H1099" s="10"/>
      <c r="I1099" s="10">
        <v>65.319999999999993</v>
      </c>
    </row>
    <row r="1100" spans="1:9" ht="21.75" customHeight="1">
      <c r="A1100" s="8" t="s">
        <v>37</v>
      </c>
      <c r="B1100" s="8" t="s">
        <v>40</v>
      </c>
      <c r="C1100" s="9" t="str">
        <f t="shared" si="17"/>
        <v>230098</v>
      </c>
      <c r="D1100" s="9" t="str">
        <f>"230915514"</f>
        <v>230915514</v>
      </c>
      <c r="E1100" s="10">
        <v>71.930000000000007</v>
      </c>
      <c r="F1100" s="10"/>
      <c r="G1100" s="10">
        <v>60.83</v>
      </c>
      <c r="H1100" s="10"/>
      <c r="I1100" s="10">
        <v>65.27</v>
      </c>
    </row>
    <row r="1101" spans="1:9" ht="21.75" customHeight="1">
      <c r="A1101" s="8" t="s">
        <v>37</v>
      </c>
      <c r="B1101" s="8" t="s">
        <v>40</v>
      </c>
      <c r="C1101" s="9" t="str">
        <f t="shared" si="17"/>
        <v>230098</v>
      </c>
      <c r="D1101" s="9" t="str">
        <f>"230915804"</f>
        <v>230915804</v>
      </c>
      <c r="E1101" s="10">
        <v>74.58</v>
      </c>
      <c r="F1101" s="10"/>
      <c r="G1101" s="10">
        <v>58.98</v>
      </c>
      <c r="H1101" s="10"/>
      <c r="I1101" s="10">
        <v>65.22</v>
      </c>
    </row>
    <row r="1102" spans="1:9" ht="21.75" customHeight="1">
      <c r="A1102" s="8" t="s">
        <v>37</v>
      </c>
      <c r="B1102" s="8" t="s">
        <v>40</v>
      </c>
      <c r="C1102" s="9" t="str">
        <f t="shared" si="17"/>
        <v>230098</v>
      </c>
      <c r="D1102" s="9" t="str">
        <f>"230914905"</f>
        <v>230914905</v>
      </c>
      <c r="E1102" s="10">
        <v>79.05</v>
      </c>
      <c r="F1102" s="10"/>
      <c r="G1102" s="10">
        <v>55.98</v>
      </c>
      <c r="H1102" s="10"/>
      <c r="I1102" s="10">
        <v>65.209999999999994</v>
      </c>
    </row>
    <row r="1103" spans="1:9" ht="21.75" customHeight="1">
      <c r="A1103" s="8" t="s">
        <v>37</v>
      </c>
      <c r="B1103" s="8" t="s">
        <v>40</v>
      </c>
      <c r="C1103" s="9" t="str">
        <f t="shared" si="17"/>
        <v>230098</v>
      </c>
      <c r="D1103" s="9" t="str">
        <f>"230915204"</f>
        <v>230915204</v>
      </c>
      <c r="E1103" s="10">
        <v>76.290000000000006</v>
      </c>
      <c r="F1103" s="10"/>
      <c r="G1103" s="10">
        <v>57.59</v>
      </c>
      <c r="H1103" s="10"/>
      <c r="I1103" s="10">
        <v>65.069999999999993</v>
      </c>
    </row>
    <row r="1104" spans="1:9" s="1" customFormat="1" ht="21.75" customHeight="1">
      <c r="A1104" s="8" t="s">
        <v>37</v>
      </c>
      <c r="B1104" s="8" t="s">
        <v>40</v>
      </c>
      <c r="C1104" s="9" t="str">
        <f t="shared" si="17"/>
        <v>230098</v>
      </c>
      <c r="D1104" s="9" t="str">
        <f>"230915313"</f>
        <v>230915313</v>
      </c>
      <c r="E1104" s="10">
        <v>69.400000000000006</v>
      </c>
      <c r="F1104" s="10"/>
      <c r="G1104" s="10">
        <v>62.11</v>
      </c>
      <c r="H1104" s="10"/>
      <c r="I1104" s="10">
        <v>65.03</v>
      </c>
    </row>
    <row r="1105" spans="1:9" ht="21.75" customHeight="1">
      <c r="A1105" s="8" t="s">
        <v>37</v>
      </c>
      <c r="B1105" s="8" t="s">
        <v>40</v>
      </c>
      <c r="C1105" s="9" t="str">
        <f t="shared" si="17"/>
        <v>230098</v>
      </c>
      <c r="D1105" s="9" t="str">
        <f>"230916012"</f>
        <v>230916012</v>
      </c>
      <c r="E1105" s="10">
        <v>69.849999999999994</v>
      </c>
      <c r="F1105" s="10"/>
      <c r="G1105" s="10">
        <v>61.67</v>
      </c>
      <c r="H1105" s="10"/>
      <c r="I1105" s="10">
        <v>64.94</v>
      </c>
    </row>
    <row r="1106" spans="1:9" ht="21.75" customHeight="1">
      <c r="A1106" s="8" t="s">
        <v>37</v>
      </c>
      <c r="B1106" s="8" t="s">
        <v>40</v>
      </c>
      <c r="C1106" s="9" t="str">
        <f t="shared" si="17"/>
        <v>230098</v>
      </c>
      <c r="D1106" s="9" t="str">
        <f>"230915926"</f>
        <v>230915926</v>
      </c>
      <c r="E1106" s="10">
        <v>79.180000000000007</v>
      </c>
      <c r="F1106" s="10"/>
      <c r="G1106" s="10">
        <v>55.37</v>
      </c>
      <c r="H1106" s="10"/>
      <c r="I1106" s="10">
        <v>64.89</v>
      </c>
    </row>
    <row r="1107" spans="1:9" s="1" customFormat="1" ht="21.75" customHeight="1">
      <c r="A1107" s="8" t="s">
        <v>37</v>
      </c>
      <c r="B1107" s="8" t="s">
        <v>40</v>
      </c>
      <c r="C1107" s="9" t="str">
        <f t="shared" si="17"/>
        <v>230098</v>
      </c>
      <c r="D1107" s="9" t="str">
        <f>"230914707"</f>
        <v>230914707</v>
      </c>
      <c r="E1107" s="10">
        <v>72.38</v>
      </c>
      <c r="F1107" s="10"/>
      <c r="G1107" s="10">
        <v>59.54</v>
      </c>
      <c r="H1107" s="10"/>
      <c r="I1107" s="10">
        <v>64.680000000000007</v>
      </c>
    </row>
    <row r="1108" spans="1:9" ht="21.75" customHeight="1">
      <c r="A1108" s="8" t="s">
        <v>37</v>
      </c>
      <c r="B1108" s="8" t="s">
        <v>40</v>
      </c>
      <c r="C1108" s="9" t="str">
        <f t="shared" si="17"/>
        <v>230098</v>
      </c>
      <c r="D1108" s="9" t="str">
        <f>"230915620"</f>
        <v>230915620</v>
      </c>
      <c r="E1108" s="10">
        <v>66.98</v>
      </c>
      <c r="F1108" s="10"/>
      <c r="G1108" s="10">
        <v>63.04</v>
      </c>
      <c r="H1108" s="10"/>
      <c r="I1108" s="10">
        <v>64.62</v>
      </c>
    </row>
    <row r="1109" spans="1:9" ht="21.75" customHeight="1">
      <c r="A1109" s="8" t="s">
        <v>37</v>
      </c>
      <c r="B1109" s="8" t="s">
        <v>40</v>
      </c>
      <c r="C1109" s="9" t="str">
        <f t="shared" si="17"/>
        <v>230098</v>
      </c>
      <c r="D1109" s="9" t="str">
        <f>"230915616"</f>
        <v>230915616</v>
      </c>
      <c r="E1109" s="10">
        <v>70.33</v>
      </c>
      <c r="F1109" s="10"/>
      <c r="G1109" s="10">
        <v>60.69</v>
      </c>
      <c r="H1109" s="10"/>
      <c r="I1109" s="10">
        <v>64.55</v>
      </c>
    </row>
    <row r="1110" spans="1:9" ht="21.75" customHeight="1">
      <c r="A1110" s="8" t="s">
        <v>37</v>
      </c>
      <c r="B1110" s="8" t="s">
        <v>40</v>
      </c>
      <c r="C1110" s="9" t="str">
        <f t="shared" si="17"/>
        <v>230098</v>
      </c>
      <c r="D1110" s="9" t="str">
        <f>"230915030"</f>
        <v>230915030</v>
      </c>
      <c r="E1110" s="10">
        <v>67.22</v>
      </c>
      <c r="F1110" s="10"/>
      <c r="G1110" s="10">
        <v>62.64</v>
      </c>
      <c r="H1110" s="10"/>
      <c r="I1110" s="10">
        <v>64.47</v>
      </c>
    </row>
    <row r="1111" spans="1:9" ht="21.75" customHeight="1">
      <c r="A1111" s="8" t="s">
        <v>37</v>
      </c>
      <c r="B1111" s="8" t="s">
        <v>40</v>
      </c>
      <c r="C1111" s="9" t="str">
        <f t="shared" si="17"/>
        <v>230098</v>
      </c>
      <c r="D1111" s="9" t="str">
        <f>"230915317"</f>
        <v>230915317</v>
      </c>
      <c r="E1111" s="10">
        <v>58.83</v>
      </c>
      <c r="F1111" s="10"/>
      <c r="G1111" s="10">
        <v>68.22</v>
      </c>
      <c r="H1111" s="10"/>
      <c r="I1111" s="10">
        <v>64.459999999999994</v>
      </c>
    </row>
    <row r="1112" spans="1:9" ht="21.75" customHeight="1">
      <c r="A1112" s="8" t="s">
        <v>37</v>
      </c>
      <c r="B1112" s="8" t="s">
        <v>40</v>
      </c>
      <c r="C1112" s="9" t="str">
        <f t="shared" si="17"/>
        <v>230098</v>
      </c>
      <c r="D1112" s="9" t="str">
        <f>"230916026"</f>
        <v>230916026</v>
      </c>
      <c r="E1112" s="10">
        <v>75.849999999999994</v>
      </c>
      <c r="F1112" s="10"/>
      <c r="G1112" s="10">
        <v>56.87</v>
      </c>
      <c r="H1112" s="10"/>
      <c r="I1112" s="10">
        <v>64.459999999999994</v>
      </c>
    </row>
    <row r="1113" spans="1:9" ht="21.75" customHeight="1">
      <c r="A1113" s="8" t="s">
        <v>37</v>
      </c>
      <c r="B1113" s="8" t="s">
        <v>40</v>
      </c>
      <c r="C1113" s="9" t="str">
        <f t="shared" si="17"/>
        <v>230098</v>
      </c>
      <c r="D1113" s="9" t="str">
        <f>"230914703"</f>
        <v>230914703</v>
      </c>
      <c r="E1113" s="10">
        <v>77.22</v>
      </c>
      <c r="F1113" s="10"/>
      <c r="G1113" s="10">
        <v>55.84</v>
      </c>
      <c r="H1113" s="10"/>
      <c r="I1113" s="10">
        <v>64.39</v>
      </c>
    </row>
    <row r="1114" spans="1:9" s="1" customFormat="1" ht="21.75" customHeight="1">
      <c r="A1114" s="8" t="s">
        <v>37</v>
      </c>
      <c r="B1114" s="8" t="s">
        <v>40</v>
      </c>
      <c r="C1114" s="9" t="str">
        <f t="shared" si="17"/>
        <v>230098</v>
      </c>
      <c r="D1114" s="9" t="str">
        <f>"230915315"</f>
        <v>230915315</v>
      </c>
      <c r="E1114" s="10">
        <v>74.239999999999995</v>
      </c>
      <c r="F1114" s="10"/>
      <c r="G1114" s="10">
        <v>57.77</v>
      </c>
      <c r="H1114" s="10"/>
      <c r="I1114" s="10">
        <v>64.36</v>
      </c>
    </row>
    <row r="1115" spans="1:9" ht="21.75" customHeight="1">
      <c r="A1115" s="8" t="s">
        <v>37</v>
      </c>
      <c r="B1115" s="8" t="s">
        <v>40</v>
      </c>
      <c r="C1115" s="9" t="str">
        <f t="shared" si="17"/>
        <v>230098</v>
      </c>
      <c r="D1115" s="9" t="str">
        <f>"230914629"</f>
        <v>230914629</v>
      </c>
      <c r="E1115" s="10">
        <v>68.13</v>
      </c>
      <c r="F1115" s="10"/>
      <c r="G1115" s="10">
        <v>61.8</v>
      </c>
      <c r="H1115" s="10"/>
      <c r="I1115" s="10">
        <v>64.33</v>
      </c>
    </row>
    <row r="1116" spans="1:9" ht="21.75" customHeight="1">
      <c r="A1116" s="8" t="s">
        <v>37</v>
      </c>
      <c r="B1116" s="8" t="s">
        <v>40</v>
      </c>
      <c r="C1116" s="9" t="str">
        <f t="shared" si="17"/>
        <v>230098</v>
      </c>
      <c r="D1116" s="9" t="str">
        <f>"230915526"</f>
        <v>230915526</v>
      </c>
      <c r="E1116" s="10">
        <v>72.38</v>
      </c>
      <c r="F1116" s="10"/>
      <c r="G1116" s="10">
        <v>58.93</v>
      </c>
      <c r="H1116" s="10"/>
      <c r="I1116" s="10">
        <v>64.31</v>
      </c>
    </row>
    <row r="1117" spans="1:9" ht="21.75" customHeight="1">
      <c r="A1117" s="8" t="s">
        <v>37</v>
      </c>
      <c r="B1117" s="8" t="s">
        <v>40</v>
      </c>
      <c r="C1117" s="9" t="str">
        <f t="shared" si="17"/>
        <v>230098</v>
      </c>
      <c r="D1117" s="9" t="str">
        <f>"230915604"</f>
        <v>230915604</v>
      </c>
      <c r="E1117" s="10">
        <v>68.709999999999994</v>
      </c>
      <c r="F1117" s="10"/>
      <c r="G1117" s="10">
        <v>61.1</v>
      </c>
      <c r="H1117" s="10"/>
      <c r="I1117" s="10">
        <v>64.14</v>
      </c>
    </row>
    <row r="1118" spans="1:9" ht="21.75" customHeight="1">
      <c r="A1118" s="8" t="s">
        <v>37</v>
      </c>
      <c r="B1118" s="8" t="s">
        <v>40</v>
      </c>
      <c r="C1118" s="9" t="str">
        <f t="shared" si="17"/>
        <v>230098</v>
      </c>
      <c r="D1118" s="9" t="str">
        <f>"230915801"</f>
        <v>230915801</v>
      </c>
      <c r="E1118" s="10">
        <v>72.27</v>
      </c>
      <c r="F1118" s="10"/>
      <c r="G1118" s="10">
        <v>58.63</v>
      </c>
      <c r="H1118" s="10"/>
      <c r="I1118" s="10">
        <v>64.09</v>
      </c>
    </row>
    <row r="1119" spans="1:9" s="1" customFormat="1" ht="21.75" customHeight="1">
      <c r="A1119" s="8" t="s">
        <v>37</v>
      </c>
      <c r="B1119" s="8" t="s">
        <v>40</v>
      </c>
      <c r="C1119" s="9" t="str">
        <f t="shared" si="17"/>
        <v>230098</v>
      </c>
      <c r="D1119" s="9" t="str">
        <f>"230915122"</f>
        <v>230915122</v>
      </c>
      <c r="E1119" s="10">
        <v>74.349999999999994</v>
      </c>
      <c r="F1119" s="10"/>
      <c r="G1119" s="10">
        <v>57.22</v>
      </c>
      <c r="H1119" s="10"/>
      <c r="I1119" s="10">
        <v>64.069999999999993</v>
      </c>
    </row>
    <row r="1120" spans="1:9" ht="21.75" customHeight="1">
      <c r="A1120" s="8" t="s">
        <v>37</v>
      </c>
      <c r="B1120" s="8" t="s">
        <v>40</v>
      </c>
      <c r="C1120" s="9" t="str">
        <f t="shared" si="17"/>
        <v>230098</v>
      </c>
      <c r="D1120" s="9" t="str">
        <f>"230915622"</f>
        <v>230915622</v>
      </c>
      <c r="E1120" s="10">
        <v>78.47</v>
      </c>
      <c r="F1120" s="10"/>
      <c r="G1120" s="10">
        <v>54.21</v>
      </c>
      <c r="H1120" s="10"/>
      <c r="I1120" s="10">
        <v>63.91</v>
      </c>
    </row>
    <row r="1121" spans="1:9" ht="21.75" customHeight="1">
      <c r="A1121" s="8" t="s">
        <v>37</v>
      </c>
      <c r="B1121" s="8" t="s">
        <v>40</v>
      </c>
      <c r="C1121" s="9" t="str">
        <f t="shared" si="17"/>
        <v>230098</v>
      </c>
      <c r="D1121" s="9" t="str">
        <f>"230915920"</f>
        <v>230915920</v>
      </c>
      <c r="E1121" s="10">
        <v>66.06</v>
      </c>
      <c r="F1121" s="10"/>
      <c r="G1121" s="10">
        <v>62.41</v>
      </c>
      <c r="H1121" s="10"/>
      <c r="I1121" s="10">
        <v>63.87</v>
      </c>
    </row>
    <row r="1122" spans="1:9" s="1" customFormat="1" ht="21.75" customHeight="1">
      <c r="A1122" s="8" t="s">
        <v>37</v>
      </c>
      <c r="B1122" s="8" t="s">
        <v>40</v>
      </c>
      <c r="C1122" s="9" t="str">
        <f t="shared" si="17"/>
        <v>230098</v>
      </c>
      <c r="D1122" s="9" t="str">
        <f>"230915409"</f>
        <v>230915409</v>
      </c>
      <c r="E1122" s="10">
        <v>69.739999999999995</v>
      </c>
      <c r="F1122" s="10"/>
      <c r="G1122" s="10">
        <v>59.94</v>
      </c>
      <c r="H1122" s="10"/>
      <c r="I1122" s="10">
        <v>63.86</v>
      </c>
    </row>
    <row r="1123" spans="1:9" ht="21.75" customHeight="1">
      <c r="A1123" s="8" t="s">
        <v>37</v>
      </c>
      <c r="B1123" s="8" t="s">
        <v>40</v>
      </c>
      <c r="C1123" s="9" t="str">
        <f t="shared" si="17"/>
        <v>230098</v>
      </c>
      <c r="D1123" s="9" t="str">
        <f>"230915216"</f>
        <v>230915216</v>
      </c>
      <c r="E1123" s="10">
        <v>71.7</v>
      </c>
      <c r="F1123" s="10"/>
      <c r="G1123" s="10">
        <v>58.42</v>
      </c>
      <c r="H1123" s="10"/>
      <c r="I1123" s="10">
        <v>63.73</v>
      </c>
    </row>
    <row r="1124" spans="1:9" ht="21.75" customHeight="1">
      <c r="A1124" s="8" t="s">
        <v>37</v>
      </c>
      <c r="B1124" s="8" t="s">
        <v>40</v>
      </c>
      <c r="C1124" s="9" t="str">
        <f t="shared" si="17"/>
        <v>230098</v>
      </c>
      <c r="D1124" s="9" t="str">
        <f>"230915021"</f>
        <v>230915021</v>
      </c>
      <c r="E1124" s="10">
        <v>77.349999999999994</v>
      </c>
      <c r="F1124" s="10"/>
      <c r="G1124" s="10">
        <v>54.49</v>
      </c>
      <c r="H1124" s="10"/>
      <c r="I1124" s="10">
        <v>63.63</v>
      </c>
    </row>
    <row r="1125" spans="1:9" ht="21.75" customHeight="1">
      <c r="A1125" s="8" t="s">
        <v>37</v>
      </c>
      <c r="B1125" s="8" t="s">
        <v>40</v>
      </c>
      <c r="C1125" s="9" t="str">
        <f t="shared" si="17"/>
        <v>230098</v>
      </c>
      <c r="D1125" s="9" t="str">
        <f>"230915316"</f>
        <v>230915316</v>
      </c>
      <c r="E1125" s="10">
        <v>69.180000000000007</v>
      </c>
      <c r="F1125" s="10"/>
      <c r="G1125" s="10">
        <v>59.81</v>
      </c>
      <c r="H1125" s="10"/>
      <c r="I1125" s="10">
        <v>63.56</v>
      </c>
    </row>
    <row r="1126" spans="1:9" ht="21.75" customHeight="1">
      <c r="A1126" s="8" t="s">
        <v>37</v>
      </c>
      <c r="B1126" s="8" t="s">
        <v>40</v>
      </c>
      <c r="C1126" s="9" t="str">
        <f t="shared" si="17"/>
        <v>230098</v>
      </c>
      <c r="D1126" s="9" t="str">
        <f>"230915606"</f>
        <v>230915606</v>
      </c>
      <c r="E1126" s="10">
        <v>77.569999999999993</v>
      </c>
      <c r="F1126" s="10"/>
      <c r="G1126" s="10">
        <v>54.18</v>
      </c>
      <c r="H1126" s="10"/>
      <c r="I1126" s="10">
        <v>63.54</v>
      </c>
    </row>
    <row r="1127" spans="1:9" ht="21.75" customHeight="1">
      <c r="A1127" s="8" t="s">
        <v>37</v>
      </c>
      <c r="B1127" s="8" t="s">
        <v>40</v>
      </c>
      <c r="C1127" s="9" t="str">
        <f t="shared" si="17"/>
        <v>230098</v>
      </c>
      <c r="D1127" s="9" t="str">
        <f>"230915624"</f>
        <v>230915624</v>
      </c>
      <c r="E1127" s="10">
        <v>77.23</v>
      </c>
      <c r="F1127" s="10"/>
      <c r="G1127" s="10">
        <v>54.33</v>
      </c>
      <c r="H1127" s="10"/>
      <c r="I1127" s="10">
        <v>63.49</v>
      </c>
    </row>
    <row r="1128" spans="1:9" ht="21.75" customHeight="1">
      <c r="A1128" s="8" t="s">
        <v>37</v>
      </c>
      <c r="B1128" s="8" t="s">
        <v>40</v>
      </c>
      <c r="C1128" s="9" t="str">
        <f t="shared" si="17"/>
        <v>230098</v>
      </c>
      <c r="D1128" s="9" t="str">
        <f>"230914618"</f>
        <v>230914618</v>
      </c>
      <c r="E1128" s="10">
        <v>65.72</v>
      </c>
      <c r="F1128" s="10"/>
      <c r="G1128" s="10">
        <v>61.99</v>
      </c>
      <c r="H1128" s="10"/>
      <c r="I1128" s="10">
        <v>63.48</v>
      </c>
    </row>
    <row r="1129" spans="1:9" s="1" customFormat="1" ht="21.75" customHeight="1">
      <c r="A1129" s="8" t="s">
        <v>37</v>
      </c>
      <c r="B1129" s="8" t="s">
        <v>40</v>
      </c>
      <c r="C1129" s="9" t="str">
        <f t="shared" si="17"/>
        <v>230098</v>
      </c>
      <c r="D1129" s="9" t="str">
        <f>"230915406"</f>
        <v>230915406</v>
      </c>
      <c r="E1129" s="10">
        <v>77.56</v>
      </c>
      <c r="F1129" s="10"/>
      <c r="G1129" s="10">
        <v>53.96</v>
      </c>
      <c r="H1129" s="10"/>
      <c r="I1129" s="10">
        <v>63.4</v>
      </c>
    </row>
    <row r="1130" spans="1:9" ht="21.75" customHeight="1">
      <c r="A1130" s="8" t="s">
        <v>37</v>
      </c>
      <c r="B1130" s="8" t="s">
        <v>40</v>
      </c>
      <c r="C1130" s="9" t="str">
        <f t="shared" si="17"/>
        <v>230098</v>
      </c>
      <c r="D1130" s="9" t="str">
        <f>"230914624"</f>
        <v>230914624</v>
      </c>
      <c r="E1130" s="10">
        <v>80.55</v>
      </c>
      <c r="F1130" s="10"/>
      <c r="G1130" s="10">
        <v>51.69</v>
      </c>
      <c r="H1130" s="10"/>
      <c r="I1130" s="10">
        <v>63.23</v>
      </c>
    </row>
    <row r="1131" spans="1:9" ht="21.75" customHeight="1">
      <c r="A1131" s="8" t="s">
        <v>37</v>
      </c>
      <c r="B1131" s="8" t="s">
        <v>40</v>
      </c>
      <c r="C1131" s="9" t="str">
        <f t="shared" si="17"/>
        <v>230098</v>
      </c>
      <c r="D1131" s="9" t="str">
        <f>"230915702"</f>
        <v>230915702</v>
      </c>
      <c r="E1131" s="10">
        <v>69.41</v>
      </c>
      <c r="F1131" s="10"/>
      <c r="G1131" s="10">
        <v>59.07</v>
      </c>
      <c r="H1131" s="10"/>
      <c r="I1131" s="10">
        <v>63.21</v>
      </c>
    </row>
    <row r="1132" spans="1:9" ht="21.75" customHeight="1">
      <c r="A1132" s="8" t="s">
        <v>37</v>
      </c>
      <c r="B1132" s="8" t="s">
        <v>40</v>
      </c>
      <c r="C1132" s="9" t="str">
        <f t="shared" si="17"/>
        <v>230098</v>
      </c>
      <c r="D1132" s="9" t="str">
        <f>"230915806"</f>
        <v>230915806</v>
      </c>
      <c r="E1132" s="10">
        <v>70.66</v>
      </c>
      <c r="F1132" s="10"/>
      <c r="G1132" s="10">
        <v>58.14</v>
      </c>
      <c r="H1132" s="10"/>
      <c r="I1132" s="10">
        <v>63.15</v>
      </c>
    </row>
    <row r="1133" spans="1:9" ht="21.75" customHeight="1">
      <c r="A1133" s="8" t="s">
        <v>37</v>
      </c>
      <c r="B1133" s="8" t="s">
        <v>40</v>
      </c>
      <c r="C1133" s="9" t="str">
        <f t="shared" si="17"/>
        <v>230098</v>
      </c>
      <c r="D1133" s="9" t="str">
        <f>"230915224"</f>
        <v>230915224</v>
      </c>
      <c r="E1133" s="10">
        <v>65.72</v>
      </c>
      <c r="F1133" s="10"/>
      <c r="G1133" s="10">
        <v>61.42</v>
      </c>
      <c r="H1133" s="10"/>
      <c r="I1133" s="10">
        <v>63.14</v>
      </c>
    </row>
    <row r="1134" spans="1:9" ht="21.75" customHeight="1">
      <c r="A1134" s="8" t="s">
        <v>37</v>
      </c>
      <c r="B1134" s="8" t="s">
        <v>40</v>
      </c>
      <c r="C1134" s="9" t="str">
        <f t="shared" ref="C1134:C1197" si="18">"230098"</f>
        <v>230098</v>
      </c>
      <c r="D1134" s="9" t="str">
        <f>"230915704"</f>
        <v>230915704</v>
      </c>
      <c r="E1134" s="10">
        <v>66.75</v>
      </c>
      <c r="F1134" s="10"/>
      <c r="G1134" s="10">
        <v>60.23</v>
      </c>
      <c r="H1134" s="10"/>
      <c r="I1134" s="10">
        <v>62.84</v>
      </c>
    </row>
    <row r="1135" spans="1:9" ht="21.75" customHeight="1">
      <c r="A1135" s="8" t="s">
        <v>37</v>
      </c>
      <c r="B1135" s="8" t="s">
        <v>40</v>
      </c>
      <c r="C1135" s="9" t="str">
        <f t="shared" si="18"/>
        <v>230098</v>
      </c>
      <c r="D1135" s="9" t="str">
        <f>"230915419"</f>
        <v>230915419</v>
      </c>
      <c r="E1135" s="10">
        <v>71.819999999999993</v>
      </c>
      <c r="F1135" s="10"/>
      <c r="G1135" s="10">
        <v>56.68</v>
      </c>
      <c r="H1135" s="10"/>
      <c r="I1135" s="10">
        <v>62.74</v>
      </c>
    </row>
    <row r="1136" spans="1:9" s="1" customFormat="1" ht="21.75" customHeight="1">
      <c r="A1136" s="8" t="s">
        <v>37</v>
      </c>
      <c r="B1136" s="8" t="s">
        <v>40</v>
      </c>
      <c r="C1136" s="9" t="str">
        <f t="shared" si="18"/>
        <v>230098</v>
      </c>
      <c r="D1136" s="9" t="str">
        <f>"230915830"</f>
        <v>230915830</v>
      </c>
      <c r="E1136" s="10">
        <v>70.56</v>
      </c>
      <c r="F1136" s="10"/>
      <c r="G1136" s="10">
        <v>57.5</v>
      </c>
      <c r="H1136" s="10"/>
      <c r="I1136" s="10">
        <v>62.72</v>
      </c>
    </row>
    <row r="1137" spans="1:9" s="1" customFormat="1" ht="21.75" customHeight="1">
      <c r="A1137" s="8" t="s">
        <v>37</v>
      </c>
      <c r="B1137" s="8" t="s">
        <v>40</v>
      </c>
      <c r="C1137" s="9" t="str">
        <f t="shared" si="18"/>
        <v>230098</v>
      </c>
      <c r="D1137" s="9" t="str">
        <f>"230915423"</f>
        <v>230915423</v>
      </c>
      <c r="E1137" s="10">
        <v>74.7</v>
      </c>
      <c r="F1137" s="10"/>
      <c r="G1137" s="10">
        <v>54.51</v>
      </c>
      <c r="H1137" s="10"/>
      <c r="I1137" s="10">
        <v>62.59</v>
      </c>
    </row>
    <row r="1138" spans="1:9" ht="21.75" customHeight="1">
      <c r="A1138" s="8" t="s">
        <v>37</v>
      </c>
      <c r="B1138" s="8" t="s">
        <v>40</v>
      </c>
      <c r="C1138" s="9" t="str">
        <f t="shared" si="18"/>
        <v>230098</v>
      </c>
      <c r="D1138" s="9" t="str">
        <f>"230915219"</f>
        <v>230915219</v>
      </c>
      <c r="E1138" s="10">
        <v>64.56</v>
      </c>
      <c r="F1138" s="10"/>
      <c r="G1138" s="10">
        <v>61.14</v>
      </c>
      <c r="H1138" s="10"/>
      <c r="I1138" s="10">
        <v>62.51</v>
      </c>
    </row>
    <row r="1139" spans="1:9" s="1" customFormat="1" ht="21.75" customHeight="1">
      <c r="A1139" s="8" t="s">
        <v>37</v>
      </c>
      <c r="B1139" s="8" t="s">
        <v>40</v>
      </c>
      <c r="C1139" s="9" t="str">
        <f t="shared" si="18"/>
        <v>230098</v>
      </c>
      <c r="D1139" s="9" t="str">
        <f>"230915802"</f>
        <v>230915802</v>
      </c>
      <c r="E1139" s="10">
        <v>73.08</v>
      </c>
      <c r="F1139" s="10"/>
      <c r="G1139" s="10">
        <v>55.45</v>
      </c>
      <c r="H1139" s="10"/>
      <c r="I1139" s="10">
        <v>62.5</v>
      </c>
    </row>
    <row r="1140" spans="1:9" ht="21.75" customHeight="1">
      <c r="A1140" s="8" t="s">
        <v>37</v>
      </c>
      <c r="B1140" s="8" t="s">
        <v>40</v>
      </c>
      <c r="C1140" s="9" t="str">
        <f t="shared" si="18"/>
        <v>230098</v>
      </c>
      <c r="D1140" s="9" t="str">
        <f>"230915919"</f>
        <v>230915919</v>
      </c>
      <c r="E1140" s="10">
        <v>75.489999999999995</v>
      </c>
      <c r="F1140" s="10"/>
      <c r="G1140" s="10">
        <v>53.76</v>
      </c>
      <c r="H1140" s="10"/>
      <c r="I1140" s="10">
        <v>62.45</v>
      </c>
    </row>
    <row r="1141" spans="1:9" s="1" customFormat="1" ht="21.75" customHeight="1">
      <c r="A1141" s="8" t="s">
        <v>37</v>
      </c>
      <c r="B1141" s="8" t="s">
        <v>40</v>
      </c>
      <c r="C1141" s="9" t="str">
        <f t="shared" si="18"/>
        <v>230098</v>
      </c>
      <c r="D1141" s="9" t="str">
        <f>"230915012"</f>
        <v>230915012</v>
      </c>
      <c r="E1141" s="10">
        <v>69.39</v>
      </c>
      <c r="F1141" s="10"/>
      <c r="G1141" s="10">
        <v>57.73</v>
      </c>
      <c r="H1141" s="10"/>
      <c r="I1141" s="10">
        <v>62.39</v>
      </c>
    </row>
    <row r="1142" spans="1:9" ht="21.75" customHeight="1">
      <c r="A1142" s="8" t="s">
        <v>37</v>
      </c>
      <c r="B1142" s="8" t="s">
        <v>40</v>
      </c>
      <c r="C1142" s="9" t="str">
        <f t="shared" si="18"/>
        <v>230098</v>
      </c>
      <c r="D1142" s="9" t="str">
        <f>"230914830"</f>
        <v>230914830</v>
      </c>
      <c r="E1142" s="10">
        <v>76.05</v>
      </c>
      <c r="F1142" s="10"/>
      <c r="G1142" s="10">
        <v>53.21</v>
      </c>
      <c r="H1142" s="10"/>
      <c r="I1142" s="10">
        <v>62.35</v>
      </c>
    </row>
    <row r="1143" spans="1:9" ht="21.75" customHeight="1">
      <c r="A1143" s="8" t="s">
        <v>37</v>
      </c>
      <c r="B1143" s="8" t="s">
        <v>40</v>
      </c>
      <c r="C1143" s="9" t="str">
        <f t="shared" si="18"/>
        <v>230098</v>
      </c>
      <c r="D1143" s="9" t="str">
        <f>"230915527"</f>
        <v>230915527</v>
      </c>
      <c r="E1143" s="10">
        <v>67.92</v>
      </c>
      <c r="F1143" s="10"/>
      <c r="G1143" s="10">
        <v>58.63</v>
      </c>
      <c r="H1143" s="10"/>
      <c r="I1143" s="10">
        <v>62.35</v>
      </c>
    </row>
    <row r="1144" spans="1:9" ht="21.75" customHeight="1">
      <c r="A1144" s="8" t="s">
        <v>37</v>
      </c>
      <c r="B1144" s="8" t="s">
        <v>40</v>
      </c>
      <c r="C1144" s="9" t="str">
        <f t="shared" si="18"/>
        <v>230098</v>
      </c>
      <c r="D1144" s="9" t="str">
        <f>"230915904"</f>
        <v>230915904</v>
      </c>
      <c r="E1144" s="10">
        <v>78.260000000000005</v>
      </c>
      <c r="F1144" s="10"/>
      <c r="G1144" s="10">
        <v>51.7</v>
      </c>
      <c r="H1144" s="10"/>
      <c r="I1144" s="10">
        <v>62.32</v>
      </c>
    </row>
    <row r="1145" spans="1:9" ht="21.75" customHeight="1">
      <c r="A1145" s="8" t="s">
        <v>37</v>
      </c>
      <c r="B1145" s="8" t="s">
        <v>40</v>
      </c>
      <c r="C1145" s="9" t="str">
        <f t="shared" si="18"/>
        <v>230098</v>
      </c>
      <c r="D1145" s="9" t="str">
        <f>"230915517"</f>
        <v>230915517</v>
      </c>
      <c r="E1145" s="10">
        <v>70.540000000000006</v>
      </c>
      <c r="F1145" s="10"/>
      <c r="G1145" s="10">
        <v>56.83</v>
      </c>
      <c r="H1145" s="10"/>
      <c r="I1145" s="10">
        <v>62.31</v>
      </c>
    </row>
    <row r="1146" spans="1:9" ht="21.75" customHeight="1">
      <c r="A1146" s="8" t="s">
        <v>37</v>
      </c>
      <c r="B1146" s="8" t="s">
        <v>40</v>
      </c>
      <c r="C1146" s="9" t="str">
        <f t="shared" si="18"/>
        <v>230098</v>
      </c>
      <c r="D1146" s="9" t="str">
        <f>"230916004"</f>
        <v>230916004</v>
      </c>
      <c r="E1146" s="10">
        <v>61.13</v>
      </c>
      <c r="F1146" s="10"/>
      <c r="G1146" s="10">
        <v>63.09</v>
      </c>
      <c r="H1146" s="10"/>
      <c r="I1146" s="10">
        <v>62.31</v>
      </c>
    </row>
    <row r="1147" spans="1:9" ht="21.75" customHeight="1">
      <c r="A1147" s="8" t="s">
        <v>37</v>
      </c>
      <c r="B1147" s="8" t="s">
        <v>40</v>
      </c>
      <c r="C1147" s="9" t="str">
        <f t="shared" si="18"/>
        <v>230098</v>
      </c>
      <c r="D1147" s="9" t="str">
        <f>"230915907"</f>
        <v>230915907</v>
      </c>
      <c r="E1147" s="10">
        <v>64.569999999999993</v>
      </c>
      <c r="F1147" s="10"/>
      <c r="G1147" s="10">
        <v>60.79</v>
      </c>
      <c r="H1147" s="10"/>
      <c r="I1147" s="10">
        <v>62.3</v>
      </c>
    </row>
    <row r="1148" spans="1:9" ht="21.75" customHeight="1">
      <c r="A1148" s="8" t="s">
        <v>37</v>
      </c>
      <c r="B1148" s="8" t="s">
        <v>40</v>
      </c>
      <c r="C1148" s="9" t="str">
        <f t="shared" si="18"/>
        <v>230098</v>
      </c>
      <c r="D1148" s="9" t="str">
        <f>"230915026"</f>
        <v>230915026</v>
      </c>
      <c r="E1148" s="10">
        <v>70.319999999999993</v>
      </c>
      <c r="F1148" s="10"/>
      <c r="G1148" s="10">
        <v>56.76</v>
      </c>
      <c r="H1148" s="10"/>
      <c r="I1148" s="10">
        <v>62.18</v>
      </c>
    </row>
    <row r="1149" spans="1:9" ht="21.75" customHeight="1">
      <c r="A1149" s="8" t="s">
        <v>37</v>
      </c>
      <c r="B1149" s="8" t="s">
        <v>40</v>
      </c>
      <c r="C1149" s="9" t="str">
        <f t="shared" si="18"/>
        <v>230098</v>
      </c>
      <c r="D1149" s="9" t="str">
        <f>"230915203"</f>
        <v>230915203</v>
      </c>
      <c r="E1149" s="10">
        <v>69.75</v>
      </c>
      <c r="F1149" s="10"/>
      <c r="G1149" s="10">
        <v>57.08</v>
      </c>
      <c r="H1149" s="10"/>
      <c r="I1149" s="10">
        <v>62.15</v>
      </c>
    </row>
    <row r="1150" spans="1:9" s="1" customFormat="1" ht="21.75" customHeight="1">
      <c r="A1150" s="8" t="s">
        <v>37</v>
      </c>
      <c r="B1150" s="8" t="s">
        <v>40</v>
      </c>
      <c r="C1150" s="9" t="str">
        <f t="shared" si="18"/>
        <v>230098</v>
      </c>
      <c r="D1150" s="9" t="str">
        <f>"230915215"</f>
        <v>230915215</v>
      </c>
      <c r="E1150" s="10">
        <v>70.34</v>
      </c>
      <c r="F1150" s="10">
        <v>2</v>
      </c>
      <c r="G1150" s="10">
        <v>53.32</v>
      </c>
      <c r="H1150" s="10">
        <v>2</v>
      </c>
      <c r="I1150" s="11">
        <v>62.13</v>
      </c>
    </row>
    <row r="1151" spans="1:9" ht="21.75" customHeight="1">
      <c r="A1151" s="8" t="s">
        <v>37</v>
      </c>
      <c r="B1151" s="8" t="s">
        <v>40</v>
      </c>
      <c r="C1151" s="9" t="str">
        <f t="shared" si="18"/>
        <v>230098</v>
      </c>
      <c r="D1151" s="9" t="str">
        <f>"230914929"</f>
        <v>230914929</v>
      </c>
      <c r="E1151" s="10">
        <v>66.760000000000005</v>
      </c>
      <c r="F1151" s="10"/>
      <c r="G1151" s="10">
        <v>59.02</v>
      </c>
      <c r="H1151" s="10"/>
      <c r="I1151" s="10">
        <v>62.12</v>
      </c>
    </row>
    <row r="1152" spans="1:9" s="1" customFormat="1" ht="21.75" customHeight="1">
      <c r="A1152" s="8" t="s">
        <v>37</v>
      </c>
      <c r="B1152" s="8" t="s">
        <v>40</v>
      </c>
      <c r="C1152" s="9" t="str">
        <f t="shared" si="18"/>
        <v>230098</v>
      </c>
      <c r="D1152" s="9" t="str">
        <f>"230915924"</f>
        <v>230915924</v>
      </c>
      <c r="E1152" s="10">
        <v>74.58</v>
      </c>
      <c r="F1152" s="10"/>
      <c r="G1152" s="10">
        <v>53.77</v>
      </c>
      <c r="H1152" s="10"/>
      <c r="I1152" s="10">
        <v>62.09</v>
      </c>
    </row>
    <row r="1153" spans="1:9" ht="21.75" customHeight="1">
      <c r="A1153" s="8" t="s">
        <v>37</v>
      </c>
      <c r="B1153" s="8" t="s">
        <v>40</v>
      </c>
      <c r="C1153" s="9" t="str">
        <f t="shared" si="18"/>
        <v>230098</v>
      </c>
      <c r="D1153" s="9" t="str">
        <f>"230915428"</f>
        <v>230915428</v>
      </c>
      <c r="E1153" s="10">
        <v>70.319999999999993</v>
      </c>
      <c r="F1153" s="10"/>
      <c r="G1153" s="10">
        <v>56.55</v>
      </c>
      <c r="H1153" s="10"/>
      <c r="I1153" s="10">
        <v>62.06</v>
      </c>
    </row>
    <row r="1154" spans="1:9" ht="21.75" customHeight="1">
      <c r="A1154" s="8" t="s">
        <v>37</v>
      </c>
      <c r="B1154" s="8" t="s">
        <v>40</v>
      </c>
      <c r="C1154" s="9" t="str">
        <f t="shared" si="18"/>
        <v>230098</v>
      </c>
      <c r="D1154" s="9" t="str">
        <f>"230915114"</f>
        <v>230915114</v>
      </c>
      <c r="E1154" s="10">
        <v>77.36</v>
      </c>
      <c r="F1154" s="10"/>
      <c r="G1154" s="10">
        <v>51.67</v>
      </c>
      <c r="H1154" s="10"/>
      <c r="I1154" s="10">
        <v>61.95</v>
      </c>
    </row>
    <row r="1155" spans="1:9" ht="21.75" customHeight="1">
      <c r="A1155" s="8" t="s">
        <v>37</v>
      </c>
      <c r="B1155" s="8" t="s">
        <v>40</v>
      </c>
      <c r="C1155" s="9" t="str">
        <f t="shared" si="18"/>
        <v>230098</v>
      </c>
      <c r="D1155" s="9" t="str">
        <f>"230915003"</f>
        <v>230915003</v>
      </c>
      <c r="E1155" s="10">
        <v>68.23</v>
      </c>
      <c r="F1155" s="10"/>
      <c r="G1155" s="10">
        <v>57.59</v>
      </c>
      <c r="H1155" s="10"/>
      <c r="I1155" s="10">
        <v>61.85</v>
      </c>
    </row>
    <row r="1156" spans="1:9" s="1" customFormat="1" ht="21.75" customHeight="1">
      <c r="A1156" s="8" t="s">
        <v>37</v>
      </c>
      <c r="B1156" s="8" t="s">
        <v>40</v>
      </c>
      <c r="C1156" s="9" t="str">
        <f t="shared" si="18"/>
        <v>230098</v>
      </c>
      <c r="D1156" s="9" t="str">
        <f>"230916110"</f>
        <v>230916110</v>
      </c>
      <c r="E1156" s="10">
        <v>59.05</v>
      </c>
      <c r="F1156" s="10"/>
      <c r="G1156" s="10">
        <v>63.41</v>
      </c>
      <c r="H1156" s="10"/>
      <c r="I1156" s="10">
        <v>61.67</v>
      </c>
    </row>
    <row r="1157" spans="1:9" ht="21.75" customHeight="1">
      <c r="A1157" s="8" t="s">
        <v>37</v>
      </c>
      <c r="B1157" s="8" t="s">
        <v>40</v>
      </c>
      <c r="C1157" s="9" t="str">
        <f t="shared" si="18"/>
        <v>230098</v>
      </c>
      <c r="D1157" s="9" t="str">
        <f>"230915116"</f>
        <v>230915116</v>
      </c>
      <c r="E1157" s="10">
        <v>75.39</v>
      </c>
      <c r="F1157" s="10"/>
      <c r="G1157" s="10">
        <v>52.48</v>
      </c>
      <c r="H1157" s="10"/>
      <c r="I1157" s="10">
        <v>61.64</v>
      </c>
    </row>
    <row r="1158" spans="1:9" ht="21.75" customHeight="1">
      <c r="A1158" s="8" t="s">
        <v>37</v>
      </c>
      <c r="B1158" s="8" t="s">
        <v>40</v>
      </c>
      <c r="C1158" s="9" t="str">
        <f t="shared" si="18"/>
        <v>230098</v>
      </c>
      <c r="D1158" s="9" t="str">
        <f>"230915625"</f>
        <v>230915625</v>
      </c>
      <c r="E1158" s="10">
        <v>70.88</v>
      </c>
      <c r="F1158" s="10"/>
      <c r="G1158" s="10">
        <v>55.45</v>
      </c>
      <c r="H1158" s="10"/>
      <c r="I1158" s="10">
        <v>61.62</v>
      </c>
    </row>
    <row r="1159" spans="1:9" ht="21.75" customHeight="1">
      <c r="A1159" s="8" t="s">
        <v>37</v>
      </c>
      <c r="B1159" s="8" t="s">
        <v>40</v>
      </c>
      <c r="C1159" s="9" t="str">
        <f t="shared" si="18"/>
        <v>230098</v>
      </c>
      <c r="D1159" s="9" t="str">
        <f>"230915828"</f>
        <v>230915828</v>
      </c>
      <c r="E1159" s="10">
        <v>63.09</v>
      </c>
      <c r="F1159" s="10"/>
      <c r="G1159" s="10">
        <v>60.6</v>
      </c>
      <c r="H1159" s="10"/>
      <c r="I1159" s="10">
        <v>61.6</v>
      </c>
    </row>
    <row r="1160" spans="1:9" ht="21.75" customHeight="1">
      <c r="A1160" s="8" t="s">
        <v>37</v>
      </c>
      <c r="B1160" s="8" t="s">
        <v>40</v>
      </c>
      <c r="C1160" s="9" t="str">
        <f t="shared" si="18"/>
        <v>230098</v>
      </c>
      <c r="D1160" s="9" t="str">
        <f>"230914906"</f>
        <v>230914906</v>
      </c>
      <c r="E1160" s="10">
        <v>71.22</v>
      </c>
      <c r="F1160" s="10"/>
      <c r="G1160" s="10">
        <v>55.05</v>
      </c>
      <c r="H1160" s="10"/>
      <c r="I1160" s="10">
        <v>61.52</v>
      </c>
    </row>
    <row r="1161" spans="1:9" s="1" customFormat="1" ht="21.75" customHeight="1">
      <c r="A1161" s="8" t="s">
        <v>37</v>
      </c>
      <c r="B1161" s="8" t="s">
        <v>40</v>
      </c>
      <c r="C1161" s="9" t="str">
        <f t="shared" si="18"/>
        <v>230098</v>
      </c>
      <c r="D1161" s="9" t="str">
        <f>"230915014"</f>
        <v>230915014</v>
      </c>
      <c r="E1161" s="10">
        <v>64</v>
      </c>
      <c r="F1161" s="10"/>
      <c r="G1161" s="10">
        <v>59.77</v>
      </c>
      <c r="H1161" s="10"/>
      <c r="I1161" s="10">
        <v>61.46</v>
      </c>
    </row>
    <row r="1162" spans="1:9" ht="21.75" customHeight="1">
      <c r="A1162" s="8" t="s">
        <v>37</v>
      </c>
      <c r="B1162" s="8" t="s">
        <v>40</v>
      </c>
      <c r="C1162" s="9" t="str">
        <f t="shared" si="18"/>
        <v>230098</v>
      </c>
      <c r="D1162" s="9" t="str">
        <f>"230915309"</f>
        <v>230915309</v>
      </c>
      <c r="E1162" s="10">
        <v>66.790000000000006</v>
      </c>
      <c r="F1162" s="10"/>
      <c r="G1162" s="10">
        <v>57.83</v>
      </c>
      <c r="H1162" s="10"/>
      <c r="I1162" s="10">
        <v>61.41</v>
      </c>
    </row>
    <row r="1163" spans="1:9" ht="21.75" customHeight="1">
      <c r="A1163" s="8" t="s">
        <v>37</v>
      </c>
      <c r="B1163" s="8" t="s">
        <v>40</v>
      </c>
      <c r="C1163" s="9" t="str">
        <f t="shared" si="18"/>
        <v>230098</v>
      </c>
      <c r="D1163" s="9" t="str">
        <f>"230915609"</f>
        <v>230915609</v>
      </c>
      <c r="E1163" s="10">
        <v>74.599999999999994</v>
      </c>
      <c r="F1163" s="10"/>
      <c r="G1163" s="10">
        <v>52.56</v>
      </c>
      <c r="H1163" s="10"/>
      <c r="I1163" s="10">
        <v>61.38</v>
      </c>
    </row>
    <row r="1164" spans="1:9" s="1" customFormat="1" ht="21.75" customHeight="1">
      <c r="A1164" s="8" t="s">
        <v>37</v>
      </c>
      <c r="B1164" s="8" t="s">
        <v>40</v>
      </c>
      <c r="C1164" s="9" t="str">
        <f t="shared" si="18"/>
        <v>230098</v>
      </c>
      <c r="D1164" s="9" t="str">
        <f>"230915807"</f>
        <v>230915807</v>
      </c>
      <c r="E1164" s="10">
        <v>70.34</v>
      </c>
      <c r="F1164" s="10"/>
      <c r="G1164" s="10">
        <v>55.35</v>
      </c>
      <c r="H1164" s="10"/>
      <c r="I1164" s="10">
        <v>61.35</v>
      </c>
    </row>
    <row r="1165" spans="1:9" ht="21.75" customHeight="1">
      <c r="A1165" s="8" t="s">
        <v>37</v>
      </c>
      <c r="B1165" s="8" t="s">
        <v>40</v>
      </c>
      <c r="C1165" s="9" t="str">
        <f t="shared" si="18"/>
        <v>230098</v>
      </c>
      <c r="D1165" s="9" t="str">
        <f>"230915121"</f>
        <v>230915121</v>
      </c>
      <c r="E1165" s="10">
        <v>76.98</v>
      </c>
      <c r="F1165" s="10"/>
      <c r="G1165" s="10">
        <v>50.92</v>
      </c>
      <c r="H1165" s="10"/>
      <c r="I1165" s="10">
        <v>61.34</v>
      </c>
    </row>
    <row r="1166" spans="1:9" s="1" customFormat="1" ht="21.75" customHeight="1">
      <c r="A1166" s="8" t="s">
        <v>37</v>
      </c>
      <c r="B1166" s="8" t="s">
        <v>40</v>
      </c>
      <c r="C1166" s="9" t="str">
        <f t="shared" si="18"/>
        <v>230098</v>
      </c>
      <c r="D1166" s="9" t="str">
        <f>"230915901"</f>
        <v>230915901</v>
      </c>
      <c r="E1166" s="10">
        <v>65.64</v>
      </c>
      <c r="F1166" s="10"/>
      <c r="G1166" s="10">
        <v>58.48</v>
      </c>
      <c r="H1166" s="10"/>
      <c r="I1166" s="10">
        <v>61.34</v>
      </c>
    </row>
    <row r="1167" spans="1:9" s="1" customFormat="1" ht="21.75" customHeight="1">
      <c r="A1167" s="8" t="s">
        <v>37</v>
      </c>
      <c r="B1167" s="8" t="s">
        <v>40</v>
      </c>
      <c r="C1167" s="9" t="str">
        <f t="shared" si="18"/>
        <v>230098</v>
      </c>
      <c r="D1167" s="9" t="str">
        <f>"230915602"</f>
        <v>230915602</v>
      </c>
      <c r="E1167" s="10">
        <v>73.650000000000006</v>
      </c>
      <c r="F1167" s="10"/>
      <c r="G1167" s="10">
        <v>52.74</v>
      </c>
      <c r="H1167" s="10"/>
      <c r="I1167" s="10">
        <v>61.1</v>
      </c>
    </row>
    <row r="1168" spans="1:9" s="1" customFormat="1" ht="21.75" customHeight="1">
      <c r="A1168" s="8" t="s">
        <v>37</v>
      </c>
      <c r="B1168" s="8" t="s">
        <v>40</v>
      </c>
      <c r="C1168" s="9" t="str">
        <f t="shared" si="18"/>
        <v>230098</v>
      </c>
      <c r="D1168" s="9" t="str">
        <f>"230915512"</f>
        <v>230915512</v>
      </c>
      <c r="E1168" s="10">
        <v>63.31</v>
      </c>
      <c r="F1168" s="10"/>
      <c r="G1168" s="10">
        <v>59.59</v>
      </c>
      <c r="H1168" s="10"/>
      <c r="I1168" s="10">
        <v>61.08</v>
      </c>
    </row>
    <row r="1169" spans="1:9" ht="21.75" customHeight="1">
      <c r="A1169" s="8" t="s">
        <v>37</v>
      </c>
      <c r="B1169" s="8" t="s">
        <v>40</v>
      </c>
      <c r="C1169" s="9" t="str">
        <f t="shared" si="18"/>
        <v>230098</v>
      </c>
      <c r="D1169" s="9" t="str">
        <f>"230915330"</f>
        <v>230915330</v>
      </c>
      <c r="E1169" s="10">
        <v>71.459999999999994</v>
      </c>
      <c r="F1169" s="10"/>
      <c r="G1169" s="10">
        <v>53.9</v>
      </c>
      <c r="H1169" s="10"/>
      <c r="I1169" s="10">
        <v>60.92</v>
      </c>
    </row>
    <row r="1170" spans="1:9" ht="21.75" customHeight="1">
      <c r="A1170" s="8" t="s">
        <v>37</v>
      </c>
      <c r="B1170" s="8" t="s">
        <v>40</v>
      </c>
      <c r="C1170" s="9" t="str">
        <f t="shared" si="18"/>
        <v>230098</v>
      </c>
      <c r="D1170" s="9" t="str">
        <f>"230914813"</f>
        <v>230914813</v>
      </c>
      <c r="E1170" s="10">
        <v>64.22</v>
      </c>
      <c r="F1170" s="10"/>
      <c r="G1170" s="10">
        <v>58.68</v>
      </c>
      <c r="H1170" s="10"/>
      <c r="I1170" s="10">
        <v>60.9</v>
      </c>
    </row>
    <row r="1171" spans="1:9" ht="21.75" customHeight="1">
      <c r="A1171" s="8" t="s">
        <v>37</v>
      </c>
      <c r="B1171" s="8" t="s">
        <v>40</v>
      </c>
      <c r="C1171" s="9" t="str">
        <f t="shared" si="18"/>
        <v>230098</v>
      </c>
      <c r="D1171" s="9" t="str">
        <f>"230914713"</f>
        <v>230914713</v>
      </c>
      <c r="E1171" s="10">
        <v>66.069999999999993</v>
      </c>
      <c r="F1171" s="10"/>
      <c r="G1171" s="10">
        <v>57.44</v>
      </c>
      <c r="H1171" s="10"/>
      <c r="I1171" s="10">
        <v>60.89</v>
      </c>
    </row>
    <row r="1172" spans="1:9" ht="21.75" customHeight="1">
      <c r="A1172" s="8" t="s">
        <v>37</v>
      </c>
      <c r="B1172" s="8" t="s">
        <v>40</v>
      </c>
      <c r="C1172" s="9" t="str">
        <f t="shared" si="18"/>
        <v>230098</v>
      </c>
      <c r="D1172" s="9" t="str">
        <f>"230914809"</f>
        <v>230914809</v>
      </c>
      <c r="E1172" s="10">
        <v>66.42</v>
      </c>
      <c r="F1172" s="10"/>
      <c r="G1172" s="10">
        <v>57.12</v>
      </c>
      <c r="H1172" s="10"/>
      <c r="I1172" s="10">
        <v>60.84</v>
      </c>
    </row>
    <row r="1173" spans="1:9" s="1" customFormat="1" ht="21.75" customHeight="1">
      <c r="A1173" s="8" t="s">
        <v>37</v>
      </c>
      <c r="B1173" s="8" t="s">
        <v>40</v>
      </c>
      <c r="C1173" s="9" t="str">
        <f t="shared" si="18"/>
        <v>230098</v>
      </c>
      <c r="D1173" s="9" t="str">
        <f>"230914826"</f>
        <v>230914826</v>
      </c>
      <c r="E1173" s="10">
        <v>67.55</v>
      </c>
      <c r="F1173" s="10"/>
      <c r="G1173" s="10">
        <v>56.29</v>
      </c>
      <c r="H1173" s="10"/>
      <c r="I1173" s="10">
        <v>60.79</v>
      </c>
    </row>
    <row r="1174" spans="1:9" ht="21.75" customHeight="1">
      <c r="A1174" s="8" t="s">
        <v>37</v>
      </c>
      <c r="B1174" s="8" t="s">
        <v>40</v>
      </c>
      <c r="C1174" s="9" t="str">
        <f t="shared" si="18"/>
        <v>230098</v>
      </c>
      <c r="D1174" s="9" t="str">
        <f>"230914815"</f>
        <v>230914815</v>
      </c>
      <c r="E1174" s="10">
        <v>64.23</v>
      </c>
      <c r="F1174" s="10"/>
      <c r="G1174" s="10">
        <v>58.41</v>
      </c>
      <c r="H1174" s="10"/>
      <c r="I1174" s="10">
        <v>60.74</v>
      </c>
    </row>
    <row r="1175" spans="1:9" ht="21.75" customHeight="1">
      <c r="A1175" s="8" t="s">
        <v>37</v>
      </c>
      <c r="B1175" s="8" t="s">
        <v>40</v>
      </c>
      <c r="C1175" s="9" t="str">
        <f t="shared" si="18"/>
        <v>230098</v>
      </c>
      <c r="D1175" s="9" t="str">
        <f>"230915002"</f>
        <v>230915002</v>
      </c>
      <c r="E1175" s="10">
        <v>64</v>
      </c>
      <c r="F1175" s="10"/>
      <c r="G1175" s="10">
        <v>58.51</v>
      </c>
      <c r="H1175" s="10"/>
      <c r="I1175" s="10">
        <v>60.71</v>
      </c>
    </row>
    <row r="1176" spans="1:9" ht="21.75" customHeight="1">
      <c r="A1176" s="8" t="s">
        <v>37</v>
      </c>
      <c r="B1176" s="8" t="s">
        <v>40</v>
      </c>
      <c r="C1176" s="9" t="str">
        <f t="shared" si="18"/>
        <v>230098</v>
      </c>
      <c r="D1176" s="9" t="str">
        <f>"230915502"</f>
        <v>230915502</v>
      </c>
      <c r="E1176" s="10">
        <v>66.98</v>
      </c>
      <c r="F1176" s="10"/>
      <c r="G1176" s="10">
        <v>56.24</v>
      </c>
      <c r="H1176" s="10"/>
      <c r="I1176" s="10">
        <v>60.54</v>
      </c>
    </row>
    <row r="1177" spans="1:9" ht="21.75" customHeight="1">
      <c r="A1177" s="8" t="s">
        <v>37</v>
      </c>
      <c r="B1177" s="8" t="s">
        <v>40</v>
      </c>
      <c r="C1177" s="9" t="str">
        <f t="shared" si="18"/>
        <v>230098</v>
      </c>
      <c r="D1177" s="9" t="str">
        <f>"230916017"</f>
        <v>230916017</v>
      </c>
      <c r="E1177" s="10">
        <v>70.319999999999993</v>
      </c>
      <c r="F1177" s="10"/>
      <c r="G1177" s="10">
        <v>54.02</v>
      </c>
      <c r="H1177" s="10"/>
      <c r="I1177" s="10">
        <v>60.54</v>
      </c>
    </row>
    <row r="1178" spans="1:9" ht="21.75" customHeight="1">
      <c r="A1178" s="8" t="s">
        <v>37</v>
      </c>
      <c r="B1178" s="8" t="s">
        <v>40</v>
      </c>
      <c r="C1178" s="9" t="str">
        <f t="shared" si="18"/>
        <v>230098</v>
      </c>
      <c r="D1178" s="9" t="str">
        <f>"230914917"</f>
        <v>230914917</v>
      </c>
      <c r="E1178" s="10">
        <v>63.77</v>
      </c>
      <c r="F1178" s="10"/>
      <c r="G1178" s="10">
        <v>58.36</v>
      </c>
      <c r="H1178" s="10"/>
      <c r="I1178" s="10">
        <v>60.52</v>
      </c>
    </row>
    <row r="1179" spans="1:9" s="1" customFormat="1" ht="21.75" customHeight="1">
      <c r="A1179" s="8" t="s">
        <v>37</v>
      </c>
      <c r="B1179" s="8" t="s">
        <v>40</v>
      </c>
      <c r="C1179" s="9" t="str">
        <f t="shared" si="18"/>
        <v>230098</v>
      </c>
      <c r="D1179" s="9" t="str">
        <f>"230914617"</f>
        <v>230914617</v>
      </c>
      <c r="E1179" s="10">
        <v>58.48</v>
      </c>
      <c r="F1179" s="10"/>
      <c r="G1179" s="10">
        <v>61.87</v>
      </c>
      <c r="H1179" s="10"/>
      <c r="I1179" s="10">
        <v>60.51</v>
      </c>
    </row>
    <row r="1180" spans="1:9" s="1" customFormat="1" ht="21.75" customHeight="1">
      <c r="A1180" s="8" t="s">
        <v>37</v>
      </c>
      <c r="B1180" s="8" t="s">
        <v>40</v>
      </c>
      <c r="C1180" s="9" t="str">
        <f t="shared" si="18"/>
        <v>230098</v>
      </c>
      <c r="D1180" s="9" t="str">
        <f>"230915319"</f>
        <v>230915319</v>
      </c>
      <c r="E1180" s="10">
        <v>59.63</v>
      </c>
      <c r="F1180" s="10"/>
      <c r="G1180" s="10">
        <v>60.91</v>
      </c>
      <c r="H1180" s="10"/>
      <c r="I1180" s="10">
        <v>60.4</v>
      </c>
    </row>
    <row r="1181" spans="1:9" ht="21.75" customHeight="1">
      <c r="A1181" s="8" t="s">
        <v>37</v>
      </c>
      <c r="B1181" s="8" t="s">
        <v>40</v>
      </c>
      <c r="C1181" s="9" t="str">
        <f t="shared" si="18"/>
        <v>230098</v>
      </c>
      <c r="D1181" s="9" t="str">
        <f>"230915405"</f>
        <v>230915405</v>
      </c>
      <c r="E1181" s="10">
        <v>64.209999999999994</v>
      </c>
      <c r="F1181" s="10"/>
      <c r="G1181" s="10">
        <v>57.78</v>
      </c>
      <c r="H1181" s="10"/>
      <c r="I1181" s="10">
        <v>60.35</v>
      </c>
    </row>
    <row r="1182" spans="1:9" s="1" customFormat="1" ht="21.75" customHeight="1">
      <c r="A1182" s="8" t="s">
        <v>37</v>
      </c>
      <c r="B1182" s="8" t="s">
        <v>40</v>
      </c>
      <c r="C1182" s="9" t="str">
        <f t="shared" si="18"/>
        <v>230098</v>
      </c>
      <c r="D1182" s="9" t="str">
        <f>"230914803"</f>
        <v>230914803</v>
      </c>
      <c r="E1182" s="10">
        <v>70.55</v>
      </c>
      <c r="F1182" s="10"/>
      <c r="G1182" s="10">
        <v>53.35</v>
      </c>
      <c r="H1182" s="10"/>
      <c r="I1182" s="10">
        <v>60.23</v>
      </c>
    </row>
    <row r="1183" spans="1:9" s="1" customFormat="1" ht="21.75" customHeight="1">
      <c r="A1183" s="8" t="s">
        <v>37</v>
      </c>
      <c r="B1183" s="8" t="s">
        <v>40</v>
      </c>
      <c r="C1183" s="9" t="str">
        <f t="shared" si="18"/>
        <v>230098</v>
      </c>
      <c r="D1183" s="9" t="str">
        <f>"230914728"</f>
        <v>230914728</v>
      </c>
      <c r="E1183" s="10">
        <v>67.47</v>
      </c>
      <c r="F1183" s="10"/>
      <c r="G1183" s="10">
        <v>55.37</v>
      </c>
      <c r="H1183" s="10"/>
      <c r="I1183" s="10">
        <v>60.21</v>
      </c>
    </row>
    <row r="1184" spans="1:9" s="1" customFormat="1" ht="21.75" customHeight="1">
      <c r="A1184" s="8" t="s">
        <v>37</v>
      </c>
      <c r="B1184" s="8" t="s">
        <v>40</v>
      </c>
      <c r="C1184" s="9" t="str">
        <f t="shared" si="18"/>
        <v>230098</v>
      </c>
      <c r="D1184" s="9" t="str">
        <f>"230915519"</f>
        <v>230915519</v>
      </c>
      <c r="E1184" s="10">
        <v>68.849999999999994</v>
      </c>
      <c r="F1184" s="10"/>
      <c r="G1184" s="10">
        <v>54.32</v>
      </c>
      <c r="H1184" s="10"/>
      <c r="I1184" s="10">
        <v>60.13</v>
      </c>
    </row>
    <row r="1185" spans="1:9" ht="21.75" customHeight="1">
      <c r="A1185" s="8" t="s">
        <v>37</v>
      </c>
      <c r="B1185" s="8" t="s">
        <v>40</v>
      </c>
      <c r="C1185" s="9" t="str">
        <f t="shared" si="18"/>
        <v>230098</v>
      </c>
      <c r="D1185" s="9" t="str">
        <f>"230915223"</f>
        <v>230915223</v>
      </c>
      <c r="E1185" s="10">
        <v>65.73</v>
      </c>
      <c r="F1185" s="10"/>
      <c r="G1185" s="10">
        <v>56.38</v>
      </c>
      <c r="H1185" s="10"/>
      <c r="I1185" s="10">
        <v>60.12</v>
      </c>
    </row>
    <row r="1186" spans="1:9" ht="21.75" customHeight="1">
      <c r="A1186" s="8" t="s">
        <v>37</v>
      </c>
      <c r="B1186" s="8" t="s">
        <v>40</v>
      </c>
      <c r="C1186" s="9" t="str">
        <f t="shared" si="18"/>
        <v>230098</v>
      </c>
      <c r="D1186" s="9" t="str">
        <f>"230915510"</f>
        <v>230915510</v>
      </c>
      <c r="E1186" s="10">
        <v>77.11</v>
      </c>
      <c r="F1186" s="10"/>
      <c r="G1186" s="10">
        <v>48.77</v>
      </c>
      <c r="H1186" s="10"/>
      <c r="I1186" s="10">
        <v>60.11</v>
      </c>
    </row>
    <row r="1187" spans="1:9" s="1" customFormat="1" ht="21.75" customHeight="1">
      <c r="A1187" s="8" t="s">
        <v>37</v>
      </c>
      <c r="B1187" s="8" t="s">
        <v>40</v>
      </c>
      <c r="C1187" s="9" t="str">
        <f t="shared" si="18"/>
        <v>230098</v>
      </c>
      <c r="D1187" s="9" t="str">
        <f>"230915410"</f>
        <v>230915410</v>
      </c>
      <c r="E1187" s="10">
        <v>73.069999999999993</v>
      </c>
      <c r="F1187" s="10"/>
      <c r="G1187" s="10">
        <v>51.37</v>
      </c>
      <c r="H1187" s="10"/>
      <c r="I1187" s="10">
        <v>60.05</v>
      </c>
    </row>
    <row r="1188" spans="1:9" ht="21.75" customHeight="1">
      <c r="A1188" s="8" t="s">
        <v>37</v>
      </c>
      <c r="B1188" s="8" t="s">
        <v>40</v>
      </c>
      <c r="C1188" s="9" t="str">
        <f t="shared" si="18"/>
        <v>230098</v>
      </c>
      <c r="D1188" s="9" t="str">
        <f>"230915420"</f>
        <v>230915420</v>
      </c>
      <c r="E1188" s="10">
        <v>58.48</v>
      </c>
      <c r="F1188" s="10"/>
      <c r="G1188" s="10">
        <v>61</v>
      </c>
      <c r="H1188" s="10"/>
      <c r="I1188" s="10">
        <v>59.99</v>
      </c>
    </row>
    <row r="1189" spans="1:9" s="1" customFormat="1" ht="21.75" customHeight="1">
      <c r="A1189" s="8" t="s">
        <v>37</v>
      </c>
      <c r="B1189" s="8" t="s">
        <v>40</v>
      </c>
      <c r="C1189" s="9" t="str">
        <f t="shared" si="18"/>
        <v>230098</v>
      </c>
      <c r="D1189" s="9" t="str">
        <f>"230915712"</f>
        <v>230915712</v>
      </c>
      <c r="E1189" s="10">
        <v>68.02</v>
      </c>
      <c r="F1189" s="10"/>
      <c r="G1189" s="10">
        <v>54.35</v>
      </c>
      <c r="H1189" s="10"/>
      <c r="I1189" s="10">
        <v>59.82</v>
      </c>
    </row>
    <row r="1190" spans="1:9" ht="21.75" customHeight="1">
      <c r="A1190" s="8" t="s">
        <v>37</v>
      </c>
      <c r="B1190" s="8" t="s">
        <v>40</v>
      </c>
      <c r="C1190" s="9" t="str">
        <f t="shared" si="18"/>
        <v>230098</v>
      </c>
      <c r="D1190" s="9" t="str">
        <f>"230915815"</f>
        <v>230915815</v>
      </c>
      <c r="E1190" s="10">
        <v>81.03</v>
      </c>
      <c r="F1190" s="10"/>
      <c r="G1190" s="10">
        <v>45.66</v>
      </c>
      <c r="H1190" s="10"/>
      <c r="I1190" s="10">
        <v>59.81</v>
      </c>
    </row>
    <row r="1191" spans="1:9" ht="21.75" customHeight="1">
      <c r="A1191" s="8" t="s">
        <v>37</v>
      </c>
      <c r="B1191" s="8" t="s">
        <v>40</v>
      </c>
      <c r="C1191" s="9" t="str">
        <f t="shared" si="18"/>
        <v>230098</v>
      </c>
      <c r="D1191" s="9" t="str">
        <f>"230915323"</f>
        <v>230915323</v>
      </c>
      <c r="E1191" s="10">
        <v>80.78</v>
      </c>
      <c r="F1191" s="10"/>
      <c r="G1191" s="10">
        <v>45.7</v>
      </c>
      <c r="H1191" s="10"/>
      <c r="I1191" s="10">
        <v>59.73</v>
      </c>
    </row>
    <row r="1192" spans="1:9" ht="21.75" customHeight="1">
      <c r="A1192" s="8" t="s">
        <v>37</v>
      </c>
      <c r="B1192" s="8" t="s">
        <v>40</v>
      </c>
      <c r="C1192" s="9" t="str">
        <f t="shared" si="18"/>
        <v>230098</v>
      </c>
      <c r="D1192" s="9" t="str">
        <f>"230914716"</f>
        <v>230914716</v>
      </c>
      <c r="E1192" s="10">
        <v>62.96</v>
      </c>
      <c r="F1192" s="10"/>
      <c r="G1192" s="10">
        <v>57.54</v>
      </c>
      <c r="H1192" s="10"/>
      <c r="I1192" s="10">
        <v>59.71</v>
      </c>
    </row>
    <row r="1193" spans="1:9" ht="21.75" customHeight="1">
      <c r="A1193" s="8" t="s">
        <v>37</v>
      </c>
      <c r="B1193" s="8" t="s">
        <v>40</v>
      </c>
      <c r="C1193" s="9" t="str">
        <f t="shared" si="18"/>
        <v>230098</v>
      </c>
      <c r="D1193" s="9" t="str">
        <f>"230914814"</f>
        <v>230914814</v>
      </c>
      <c r="E1193" s="10">
        <v>68.489999999999995</v>
      </c>
      <c r="F1193" s="10"/>
      <c r="G1193" s="10">
        <v>53.71</v>
      </c>
      <c r="H1193" s="10"/>
      <c r="I1193" s="10">
        <v>59.62</v>
      </c>
    </row>
    <row r="1194" spans="1:9" ht="21.75" customHeight="1">
      <c r="A1194" s="8" t="s">
        <v>37</v>
      </c>
      <c r="B1194" s="8" t="s">
        <v>40</v>
      </c>
      <c r="C1194" s="9" t="str">
        <f t="shared" si="18"/>
        <v>230098</v>
      </c>
      <c r="D1194" s="9" t="str">
        <f>"230915610"</f>
        <v>230915610</v>
      </c>
      <c r="E1194" s="10">
        <v>70.44</v>
      </c>
      <c r="F1194" s="10"/>
      <c r="G1194" s="10">
        <v>52.31</v>
      </c>
      <c r="H1194" s="10"/>
      <c r="I1194" s="10">
        <v>59.56</v>
      </c>
    </row>
    <row r="1195" spans="1:9" s="1" customFormat="1" ht="21.75" customHeight="1">
      <c r="A1195" s="8" t="s">
        <v>37</v>
      </c>
      <c r="B1195" s="8" t="s">
        <v>40</v>
      </c>
      <c r="C1195" s="9" t="str">
        <f t="shared" si="18"/>
        <v>230098</v>
      </c>
      <c r="D1195" s="9" t="str">
        <f>"230915608"</f>
        <v>230915608</v>
      </c>
      <c r="E1195" s="10">
        <v>78.489999999999995</v>
      </c>
      <c r="F1195" s="10"/>
      <c r="G1195" s="10">
        <v>46.87</v>
      </c>
      <c r="H1195" s="10"/>
      <c r="I1195" s="10">
        <v>59.52</v>
      </c>
    </row>
    <row r="1196" spans="1:9" ht="21.75" customHeight="1">
      <c r="A1196" s="8" t="s">
        <v>37</v>
      </c>
      <c r="B1196" s="8" t="s">
        <v>40</v>
      </c>
      <c r="C1196" s="9" t="str">
        <f t="shared" si="18"/>
        <v>230098</v>
      </c>
      <c r="D1196" s="9" t="str">
        <f>"230915417"</f>
        <v>230915417</v>
      </c>
      <c r="E1196" s="10">
        <v>69.75</v>
      </c>
      <c r="F1196" s="10"/>
      <c r="G1196" s="10">
        <v>52.68</v>
      </c>
      <c r="H1196" s="10"/>
      <c r="I1196" s="10">
        <v>59.51</v>
      </c>
    </row>
    <row r="1197" spans="1:9" ht="21.75" customHeight="1">
      <c r="A1197" s="8" t="s">
        <v>37</v>
      </c>
      <c r="B1197" s="8" t="s">
        <v>40</v>
      </c>
      <c r="C1197" s="9" t="str">
        <f t="shared" si="18"/>
        <v>230098</v>
      </c>
      <c r="D1197" s="9" t="str">
        <f>"230916118"</f>
        <v>230916118</v>
      </c>
      <c r="E1197" s="10">
        <v>69.41</v>
      </c>
      <c r="F1197" s="10"/>
      <c r="G1197" s="10">
        <v>52.91</v>
      </c>
      <c r="H1197" s="10"/>
      <c r="I1197" s="10">
        <v>59.51</v>
      </c>
    </row>
    <row r="1198" spans="1:9" ht="21.75" customHeight="1">
      <c r="A1198" s="8" t="s">
        <v>37</v>
      </c>
      <c r="B1198" s="8" t="s">
        <v>40</v>
      </c>
      <c r="C1198" s="9" t="str">
        <f t="shared" ref="C1198:C1261" si="19">"230098"</f>
        <v>230098</v>
      </c>
      <c r="D1198" s="9" t="str">
        <f>"230915811"</f>
        <v>230915811</v>
      </c>
      <c r="E1198" s="10">
        <v>68.709999999999994</v>
      </c>
      <c r="F1198" s="10"/>
      <c r="G1198" s="10">
        <v>52.96</v>
      </c>
      <c r="H1198" s="10"/>
      <c r="I1198" s="10">
        <v>59.26</v>
      </c>
    </row>
    <row r="1199" spans="1:9" ht="21.75" customHeight="1">
      <c r="A1199" s="8" t="s">
        <v>37</v>
      </c>
      <c r="B1199" s="8" t="s">
        <v>40</v>
      </c>
      <c r="C1199" s="9" t="str">
        <f t="shared" si="19"/>
        <v>230098</v>
      </c>
      <c r="D1199" s="9" t="str">
        <f>"230914724"</f>
        <v>230914724</v>
      </c>
      <c r="E1199" s="10">
        <v>67.91</v>
      </c>
      <c r="F1199" s="10"/>
      <c r="G1199" s="10">
        <v>53.38</v>
      </c>
      <c r="H1199" s="10"/>
      <c r="I1199" s="10">
        <v>59.19</v>
      </c>
    </row>
    <row r="1200" spans="1:9" s="1" customFormat="1" ht="21.75" customHeight="1">
      <c r="A1200" s="8" t="s">
        <v>37</v>
      </c>
      <c r="B1200" s="8" t="s">
        <v>40</v>
      </c>
      <c r="C1200" s="9" t="str">
        <f t="shared" si="19"/>
        <v>230098</v>
      </c>
      <c r="D1200" s="9" t="str">
        <f>"230915321"</f>
        <v>230915321</v>
      </c>
      <c r="E1200" s="10">
        <v>64.819999999999993</v>
      </c>
      <c r="F1200" s="10"/>
      <c r="G1200" s="10">
        <v>55.18</v>
      </c>
      <c r="H1200" s="10"/>
      <c r="I1200" s="10">
        <v>59.04</v>
      </c>
    </row>
    <row r="1201" spans="1:9" ht="21.75" customHeight="1">
      <c r="A1201" s="8" t="s">
        <v>37</v>
      </c>
      <c r="B1201" s="8" t="s">
        <v>40</v>
      </c>
      <c r="C1201" s="9" t="str">
        <f t="shared" si="19"/>
        <v>230098</v>
      </c>
      <c r="D1201" s="9" t="str">
        <f>"230914805"</f>
        <v>230914805</v>
      </c>
      <c r="E1201" s="10">
        <v>61.79</v>
      </c>
      <c r="F1201" s="10"/>
      <c r="G1201" s="10">
        <v>56.93</v>
      </c>
      <c r="H1201" s="10"/>
      <c r="I1201" s="10">
        <v>58.87</v>
      </c>
    </row>
    <row r="1202" spans="1:9" ht="21.75" customHeight="1">
      <c r="A1202" s="8" t="s">
        <v>37</v>
      </c>
      <c r="B1202" s="8" t="s">
        <v>40</v>
      </c>
      <c r="C1202" s="9" t="str">
        <f t="shared" si="19"/>
        <v>230098</v>
      </c>
      <c r="D1202" s="9" t="str">
        <f>"230914812"</f>
        <v>230914812</v>
      </c>
      <c r="E1202" s="10">
        <v>71.010000000000005</v>
      </c>
      <c r="F1202" s="10"/>
      <c r="G1202" s="10">
        <v>50.75</v>
      </c>
      <c r="H1202" s="10"/>
      <c r="I1202" s="10">
        <v>58.85</v>
      </c>
    </row>
    <row r="1203" spans="1:9" ht="21.75" customHeight="1">
      <c r="A1203" s="8" t="s">
        <v>37</v>
      </c>
      <c r="B1203" s="8" t="s">
        <v>40</v>
      </c>
      <c r="C1203" s="9" t="str">
        <f t="shared" si="19"/>
        <v>230098</v>
      </c>
      <c r="D1203" s="9" t="str">
        <f>"230915407"</f>
        <v>230915407</v>
      </c>
      <c r="E1203" s="10">
        <v>73.3</v>
      </c>
      <c r="F1203" s="10"/>
      <c r="G1203" s="10">
        <v>49.22</v>
      </c>
      <c r="H1203" s="10"/>
      <c r="I1203" s="10">
        <v>58.85</v>
      </c>
    </row>
    <row r="1204" spans="1:9" s="1" customFormat="1" ht="21.75" customHeight="1">
      <c r="A1204" s="8" t="s">
        <v>37</v>
      </c>
      <c r="B1204" s="8" t="s">
        <v>40</v>
      </c>
      <c r="C1204" s="9" t="str">
        <f t="shared" si="19"/>
        <v>230098</v>
      </c>
      <c r="D1204" s="9" t="str">
        <f>"230914907"</f>
        <v>230914907</v>
      </c>
      <c r="E1204" s="10">
        <v>68.709999999999994</v>
      </c>
      <c r="F1204" s="10"/>
      <c r="G1204" s="10">
        <v>52.25</v>
      </c>
      <c r="H1204" s="10"/>
      <c r="I1204" s="10">
        <v>58.83</v>
      </c>
    </row>
    <row r="1205" spans="1:9" ht="21.75" customHeight="1">
      <c r="A1205" s="8" t="s">
        <v>37</v>
      </c>
      <c r="B1205" s="8" t="s">
        <v>40</v>
      </c>
      <c r="C1205" s="9" t="str">
        <f t="shared" si="19"/>
        <v>230098</v>
      </c>
      <c r="D1205" s="9" t="str">
        <f>"230915715"</f>
        <v>230915715</v>
      </c>
      <c r="E1205" s="10">
        <v>70.91</v>
      </c>
      <c r="F1205" s="10"/>
      <c r="G1205" s="10">
        <v>50.52</v>
      </c>
      <c r="H1205" s="10"/>
      <c r="I1205" s="10">
        <v>58.68</v>
      </c>
    </row>
    <row r="1206" spans="1:9" ht="21.75" customHeight="1">
      <c r="A1206" s="8" t="s">
        <v>37</v>
      </c>
      <c r="B1206" s="8" t="s">
        <v>40</v>
      </c>
      <c r="C1206" s="9" t="str">
        <f t="shared" si="19"/>
        <v>230098</v>
      </c>
      <c r="D1206" s="9" t="str">
        <f>"230915102"</f>
        <v>230915102</v>
      </c>
      <c r="E1206" s="10">
        <v>66.290000000000006</v>
      </c>
      <c r="F1206" s="10"/>
      <c r="G1206" s="10">
        <v>53.58</v>
      </c>
      <c r="H1206" s="10"/>
      <c r="I1206" s="10">
        <v>58.66</v>
      </c>
    </row>
    <row r="1207" spans="1:9" s="1" customFormat="1" ht="21.75" customHeight="1">
      <c r="A1207" s="8" t="s">
        <v>37</v>
      </c>
      <c r="B1207" s="8" t="s">
        <v>40</v>
      </c>
      <c r="C1207" s="9" t="str">
        <f t="shared" si="19"/>
        <v>230098</v>
      </c>
      <c r="D1207" s="9" t="str">
        <f>"230915914"</f>
        <v>230915914</v>
      </c>
      <c r="E1207" s="10">
        <v>64.569999999999993</v>
      </c>
      <c r="F1207" s="10"/>
      <c r="G1207" s="10">
        <v>54.7</v>
      </c>
      <c r="H1207" s="10"/>
      <c r="I1207" s="10">
        <v>58.65</v>
      </c>
    </row>
    <row r="1208" spans="1:9" ht="21.75" customHeight="1">
      <c r="A1208" s="8" t="s">
        <v>37</v>
      </c>
      <c r="B1208" s="8" t="s">
        <v>40</v>
      </c>
      <c r="C1208" s="9" t="str">
        <f t="shared" si="19"/>
        <v>230098</v>
      </c>
      <c r="D1208" s="9" t="str">
        <f>"230915017"</f>
        <v>230915017</v>
      </c>
      <c r="E1208" s="10">
        <v>75.16</v>
      </c>
      <c r="F1208" s="10"/>
      <c r="G1208" s="10">
        <v>47.56</v>
      </c>
      <c r="H1208" s="10"/>
      <c r="I1208" s="10">
        <v>58.6</v>
      </c>
    </row>
    <row r="1209" spans="1:9" ht="21.75" customHeight="1">
      <c r="A1209" s="8" t="s">
        <v>37</v>
      </c>
      <c r="B1209" s="8" t="s">
        <v>40</v>
      </c>
      <c r="C1209" s="9" t="str">
        <f t="shared" si="19"/>
        <v>230098</v>
      </c>
      <c r="D1209" s="9" t="str">
        <f>"230914829"</f>
        <v>230914829</v>
      </c>
      <c r="E1209" s="10">
        <v>72.39</v>
      </c>
      <c r="F1209" s="10"/>
      <c r="G1209" s="10">
        <v>49.39</v>
      </c>
      <c r="H1209" s="10"/>
      <c r="I1209" s="10">
        <v>58.59</v>
      </c>
    </row>
    <row r="1210" spans="1:9" ht="21.75" customHeight="1">
      <c r="A1210" s="8" t="s">
        <v>37</v>
      </c>
      <c r="B1210" s="8" t="s">
        <v>40</v>
      </c>
      <c r="C1210" s="9" t="str">
        <f t="shared" si="19"/>
        <v>230098</v>
      </c>
      <c r="D1210" s="9" t="str">
        <f>"230915822"</f>
        <v>230915822</v>
      </c>
      <c r="E1210" s="10">
        <v>61.93</v>
      </c>
      <c r="F1210" s="10"/>
      <c r="G1210" s="10">
        <v>56.32</v>
      </c>
      <c r="H1210" s="10"/>
      <c r="I1210" s="10">
        <v>58.56</v>
      </c>
    </row>
    <row r="1211" spans="1:9" ht="21.75" customHeight="1">
      <c r="A1211" s="8" t="s">
        <v>37</v>
      </c>
      <c r="B1211" s="8" t="s">
        <v>40</v>
      </c>
      <c r="C1211" s="9" t="str">
        <f t="shared" si="19"/>
        <v>230098</v>
      </c>
      <c r="D1211" s="9" t="str">
        <f>"230914919"</f>
        <v>230914919</v>
      </c>
      <c r="E1211" s="10">
        <v>66.97</v>
      </c>
      <c r="F1211" s="10"/>
      <c r="G1211" s="10">
        <v>52.92</v>
      </c>
      <c r="H1211" s="10"/>
      <c r="I1211" s="10">
        <v>58.54</v>
      </c>
    </row>
    <row r="1212" spans="1:9" s="1" customFormat="1" ht="21.75" customHeight="1">
      <c r="A1212" s="8" t="s">
        <v>37</v>
      </c>
      <c r="B1212" s="8" t="s">
        <v>40</v>
      </c>
      <c r="C1212" s="9" t="str">
        <f t="shared" si="19"/>
        <v>230098</v>
      </c>
      <c r="D1212" s="9" t="str">
        <f>"230915307"</f>
        <v>230915307</v>
      </c>
      <c r="E1212" s="10">
        <v>70.540000000000006</v>
      </c>
      <c r="F1212" s="10"/>
      <c r="G1212" s="10">
        <v>50.52</v>
      </c>
      <c r="H1212" s="10"/>
      <c r="I1212" s="10">
        <v>58.53</v>
      </c>
    </row>
    <row r="1213" spans="1:9" ht="21.75" customHeight="1">
      <c r="A1213" s="8" t="s">
        <v>37</v>
      </c>
      <c r="B1213" s="8" t="s">
        <v>40</v>
      </c>
      <c r="C1213" s="9" t="str">
        <f t="shared" si="19"/>
        <v>230098</v>
      </c>
      <c r="D1213" s="9" t="str">
        <f>"230915821"</f>
        <v>230915821</v>
      </c>
      <c r="E1213" s="10">
        <v>67.33</v>
      </c>
      <c r="F1213" s="10"/>
      <c r="G1213" s="10">
        <v>52.52</v>
      </c>
      <c r="H1213" s="10"/>
      <c r="I1213" s="10">
        <v>58.44</v>
      </c>
    </row>
    <row r="1214" spans="1:9" s="1" customFormat="1" ht="21.75" customHeight="1">
      <c r="A1214" s="8" t="s">
        <v>37</v>
      </c>
      <c r="B1214" s="8" t="s">
        <v>40</v>
      </c>
      <c r="C1214" s="9" t="str">
        <f t="shared" si="19"/>
        <v>230098</v>
      </c>
      <c r="D1214" s="9" t="str">
        <f>"230915029"</f>
        <v>230915029</v>
      </c>
      <c r="E1214" s="10">
        <v>65.06</v>
      </c>
      <c r="F1214" s="10"/>
      <c r="G1214" s="10">
        <v>53.92</v>
      </c>
      <c r="H1214" s="10"/>
      <c r="I1214" s="10">
        <v>58.38</v>
      </c>
    </row>
    <row r="1215" spans="1:9" ht="21.75" customHeight="1">
      <c r="A1215" s="8" t="s">
        <v>37</v>
      </c>
      <c r="B1215" s="8" t="s">
        <v>40</v>
      </c>
      <c r="C1215" s="9" t="str">
        <f t="shared" si="19"/>
        <v>230098</v>
      </c>
      <c r="D1215" s="9" t="str">
        <f>"230914714"</f>
        <v>230914714</v>
      </c>
      <c r="E1215" s="10">
        <v>69.040000000000006</v>
      </c>
      <c r="F1215" s="10"/>
      <c r="G1215" s="10">
        <v>51.22</v>
      </c>
      <c r="H1215" s="10"/>
      <c r="I1215" s="10">
        <v>58.35</v>
      </c>
    </row>
    <row r="1216" spans="1:9" ht="21.75" customHeight="1">
      <c r="A1216" s="8" t="s">
        <v>37</v>
      </c>
      <c r="B1216" s="8" t="s">
        <v>40</v>
      </c>
      <c r="C1216" s="9" t="str">
        <f t="shared" si="19"/>
        <v>230098</v>
      </c>
      <c r="D1216" s="9" t="str">
        <f>"230915524"</f>
        <v>230915524</v>
      </c>
      <c r="E1216" s="10">
        <v>72.84</v>
      </c>
      <c r="F1216" s="10"/>
      <c r="G1216" s="10">
        <v>48.41</v>
      </c>
      <c r="H1216" s="10"/>
      <c r="I1216" s="10">
        <v>58.18</v>
      </c>
    </row>
    <row r="1217" spans="1:9" ht="21.75" customHeight="1">
      <c r="A1217" s="8" t="s">
        <v>37</v>
      </c>
      <c r="B1217" s="8" t="s">
        <v>40</v>
      </c>
      <c r="C1217" s="9" t="str">
        <f t="shared" si="19"/>
        <v>230098</v>
      </c>
      <c r="D1217" s="9" t="str">
        <f>"230914910"</f>
        <v>230914910</v>
      </c>
      <c r="E1217" s="10">
        <v>70.099999999999994</v>
      </c>
      <c r="F1217" s="10"/>
      <c r="G1217" s="10">
        <v>50.15</v>
      </c>
      <c r="H1217" s="10"/>
      <c r="I1217" s="10">
        <v>58.13</v>
      </c>
    </row>
    <row r="1218" spans="1:9" s="1" customFormat="1" ht="21.75" customHeight="1">
      <c r="A1218" s="8" t="s">
        <v>37</v>
      </c>
      <c r="B1218" s="8" t="s">
        <v>40</v>
      </c>
      <c r="C1218" s="9" t="str">
        <f t="shared" si="19"/>
        <v>230098</v>
      </c>
      <c r="D1218" s="9" t="str">
        <f>"230915522"</f>
        <v>230915522</v>
      </c>
      <c r="E1218" s="10">
        <v>70.31</v>
      </c>
      <c r="F1218" s="10"/>
      <c r="G1218" s="10">
        <v>49.9</v>
      </c>
      <c r="H1218" s="10"/>
      <c r="I1218" s="10">
        <v>58.06</v>
      </c>
    </row>
    <row r="1219" spans="1:9" s="1" customFormat="1" ht="21.75" customHeight="1">
      <c r="A1219" s="8" t="s">
        <v>37</v>
      </c>
      <c r="B1219" s="8" t="s">
        <v>40</v>
      </c>
      <c r="C1219" s="9" t="str">
        <f t="shared" si="19"/>
        <v>230098</v>
      </c>
      <c r="D1219" s="9" t="str">
        <f>"230915506"</f>
        <v>230915506</v>
      </c>
      <c r="E1219" s="10">
        <v>60.45</v>
      </c>
      <c r="F1219" s="10"/>
      <c r="G1219" s="10">
        <v>56.44</v>
      </c>
      <c r="H1219" s="10"/>
      <c r="I1219" s="10">
        <v>58.04</v>
      </c>
    </row>
    <row r="1220" spans="1:9" ht="21.75" customHeight="1">
      <c r="A1220" s="8" t="s">
        <v>37</v>
      </c>
      <c r="B1220" s="8" t="s">
        <v>40</v>
      </c>
      <c r="C1220" s="9" t="str">
        <f t="shared" si="19"/>
        <v>230098</v>
      </c>
      <c r="D1220" s="9" t="str">
        <f>"230915612"</f>
        <v>230915612</v>
      </c>
      <c r="E1220" s="10">
        <v>67.33</v>
      </c>
      <c r="F1220" s="10"/>
      <c r="G1220" s="10">
        <v>51.79</v>
      </c>
      <c r="H1220" s="10"/>
      <c r="I1220" s="10">
        <v>58.01</v>
      </c>
    </row>
    <row r="1221" spans="1:9" ht="21.75" customHeight="1">
      <c r="A1221" s="8" t="s">
        <v>37</v>
      </c>
      <c r="B1221" s="8" t="s">
        <v>40</v>
      </c>
      <c r="C1221" s="9" t="str">
        <f t="shared" si="19"/>
        <v>230098</v>
      </c>
      <c r="D1221" s="9" t="str">
        <f>"230914630"</f>
        <v>230914630</v>
      </c>
      <c r="E1221" s="10">
        <v>77.55</v>
      </c>
      <c r="F1221" s="10"/>
      <c r="G1221" s="10">
        <v>44.93</v>
      </c>
      <c r="H1221" s="10"/>
      <c r="I1221" s="10">
        <v>57.98</v>
      </c>
    </row>
    <row r="1222" spans="1:9" ht="21.75" customHeight="1">
      <c r="A1222" s="8" t="s">
        <v>37</v>
      </c>
      <c r="B1222" s="8" t="s">
        <v>40</v>
      </c>
      <c r="C1222" s="9" t="str">
        <f t="shared" si="19"/>
        <v>230098</v>
      </c>
      <c r="D1222" s="9" t="str">
        <f>"230915411"</f>
        <v>230915411</v>
      </c>
      <c r="E1222" s="10">
        <v>68.37</v>
      </c>
      <c r="F1222" s="10"/>
      <c r="G1222" s="10">
        <v>51.04</v>
      </c>
      <c r="H1222" s="10"/>
      <c r="I1222" s="10">
        <v>57.97</v>
      </c>
    </row>
    <row r="1223" spans="1:9" ht="21.75" customHeight="1">
      <c r="A1223" s="8" t="s">
        <v>37</v>
      </c>
      <c r="B1223" s="8" t="s">
        <v>40</v>
      </c>
      <c r="C1223" s="9" t="str">
        <f t="shared" si="19"/>
        <v>230098</v>
      </c>
      <c r="D1223" s="9" t="str">
        <f>"230915903"</f>
        <v>230915903</v>
      </c>
      <c r="E1223" s="10">
        <v>70.900000000000006</v>
      </c>
      <c r="F1223" s="10"/>
      <c r="G1223" s="10">
        <v>49.3</v>
      </c>
      <c r="H1223" s="10"/>
      <c r="I1223" s="10">
        <v>57.94</v>
      </c>
    </row>
    <row r="1224" spans="1:9" ht="21.75" customHeight="1">
      <c r="A1224" s="8" t="s">
        <v>37</v>
      </c>
      <c r="B1224" s="8" t="s">
        <v>40</v>
      </c>
      <c r="C1224" s="9" t="str">
        <f t="shared" si="19"/>
        <v>230098</v>
      </c>
      <c r="D1224" s="9" t="str">
        <f>"230915515"</f>
        <v>230915515</v>
      </c>
      <c r="E1224" s="10">
        <v>70.569999999999993</v>
      </c>
      <c r="F1224" s="10"/>
      <c r="G1224" s="10">
        <v>49.43</v>
      </c>
      <c r="H1224" s="10"/>
      <c r="I1224" s="10">
        <v>57.89</v>
      </c>
    </row>
    <row r="1225" spans="1:9" ht="21.75" customHeight="1">
      <c r="A1225" s="8" t="s">
        <v>37</v>
      </c>
      <c r="B1225" s="8" t="s">
        <v>40</v>
      </c>
      <c r="C1225" s="9" t="str">
        <f t="shared" si="19"/>
        <v>230098</v>
      </c>
      <c r="D1225" s="9" t="str">
        <f>"230915501"</f>
        <v>230915501</v>
      </c>
      <c r="E1225" s="10">
        <v>64.91</v>
      </c>
      <c r="F1225" s="10"/>
      <c r="G1225" s="10">
        <v>52.96</v>
      </c>
      <c r="H1225" s="10"/>
      <c r="I1225" s="10">
        <v>57.74</v>
      </c>
    </row>
    <row r="1226" spans="1:9" ht="21.75" customHeight="1">
      <c r="A1226" s="8" t="s">
        <v>37</v>
      </c>
      <c r="B1226" s="8" t="s">
        <v>40</v>
      </c>
      <c r="C1226" s="9" t="str">
        <f t="shared" si="19"/>
        <v>230098</v>
      </c>
      <c r="D1226" s="9" t="str">
        <f>"230915520"</f>
        <v>230915520</v>
      </c>
      <c r="E1226" s="10">
        <v>61.47</v>
      </c>
      <c r="F1226" s="10"/>
      <c r="G1226" s="10">
        <v>55.2</v>
      </c>
      <c r="H1226" s="10"/>
      <c r="I1226" s="10">
        <v>57.71</v>
      </c>
    </row>
    <row r="1227" spans="1:9" s="1" customFormat="1" ht="21.75" customHeight="1">
      <c r="A1227" s="8" t="s">
        <v>37</v>
      </c>
      <c r="B1227" s="8" t="s">
        <v>40</v>
      </c>
      <c r="C1227" s="9" t="str">
        <f t="shared" si="19"/>
        <v>230098</v>
      </c>
      <c r="D1227" s="9" t="str">
        <f>"230915710"</f>
        <v>230915710</v>
      </c>
      <c r="E1227" s="10">
        <v>76.3</v>
      </c>
      <c r="F1227" s="10"/>
      <c r="G1227" s="10">
        <v>44.89</v>
      </c>
      <c r="H1227" s="10"/>
      <c r="I1227" s="10">
        <v>57.45</v>
      </c>
    </row>
    <row r="1228" spans="1:9" ht="21.75" customHeight="1">
      <c r="A1228" s="8" t="s">
        <v>37</v>
      </c>
      <c r="B1228" s="8" t="s">
        <v>40</v>
      </c>
      <c r="C1228" s="9" t="str">
        <f t="shared" si="19"/>
        <v>230098</v>
      </c>
      <c r="D1228" s="9" t="str">
        <f>"230915009"</f>
        <v>230915009</v>
      </c>
      <c r="E1228" s="10">
        <v>71.349999999999994</v>
      </c>
      <c r="F1228" s="10"/>
      <c r="G1228" s="10">
        <v>48.17</v>
      </c>
      <c r="H1228" s="10"/>
      <c r="I1228" s="10">
        <v>57.44</v>
      </c>
    </row>
    <row r="1229" spans="1:9" ht="21.75" customHeight="1">
      <c r="A1229" s="8" t="s">
        <v>37</v>
      </c>
      <c r="B1229" s="8" t="s">
        <v>40</v>
      </c>
      <c r="C1229" s="9" t="str">
        <f t="shared" si="19"/>
        <v>230098</v>
      </c>
      <c r="D1229" s="9" t="str">
        <f>"230915318"</f>
        <v>230915318</v>
      </c>
      <c r="E1229" s="10">
        <v>66.42</v>
      </c>
      <c r="F1229" s="10"/>
      <c r="G1229" s="10">
        <v>51.15</v>
      </c>
      <c r="H1229" s="10"/>
      <c r="I1229" s="10">
        <v>57.26</v>
      </c>
    </row>
    <row r="1230" spans="1:9" ht="21.75" customHeight="1">
      <c r="A1230" s="8" t="s">
        <v>37</v>
      </c>
      <c r="B1230" s="8" t="s">
        <v>40</v>
      </c>
      <c r="C1230" s="9" t="str">
        <f t="shared" si="19"/>
        <v>230098</v>
      </c>
      <c r="D1230" s="9" t="str">
        <f>"230915912"</f>
        <v>230915912</v>
      </c>
      <c r="E1230" s="10">
        <v>73.66</v>
      </c>
      <c r="F1230" s="10"/>
      <c r="G1230" s="10">
        <v>46.32</v>
      </c>
      <c r="H1230" s="10"/>
      <c r="I1230" s="10">
        <v>57.26</v>
      </c>
    </row>
    <row r="1231" spans="1:9" s="1" customFormat="1" ht="21.75" customHeight="1">
      <c r="A1231" s="8" t="s">
        <v>37</v>
      </c>
      <c r="B1231" s="8" t="s">
        <v>40</v>
      </c>
      <c r="C1231" s="9" t="str">
        <f t="shared" si="19"/>
        <v>230098</v>
      </c>
      <c r="D1231" s="9" t="str">
        <f>"230915214"</f>
        <v>230915214</v>
      </c>
      <c r="E1231" s="10">
        <v>62.16</v>
      </c>
      <c r="F1231" s="10"/>
      <c r="G1231" s="10">
        <v>53.95</v>
      </c>
      <c r="H1231" s="10"/>
      <c r="I1231" s="10">
        <v>57.23</v>
      </c>
    </row>
    <row r="1232" spans="1:9" s="1" customFormat="1" ht="21.75" customHeight="1">
      <c r="A1232" s="8" t="s">
        <v>37</v>
      </c>
      <c r="B1232" s="8" t="s">
        <v>40</v>
      </c>
      <c r="C1232" s="9" t="str">
        <f t="shared" si="19"/>
        <v>230098</v>
      </c>
      <c r="D1232" s="9" t="str">
        <f>"230915729"</f>
        <v>230915729</v>
      </c>
      <c r="E1232" s="10">
        <v>71.25</v>
      </c>
      <c r="F1232" s="10"/>
      <c r="G1232" s="10">
        <v>47.86</v>
      </c>
      <c r="H1232" s="10"/>
      <c r="I1232" s="10">
        <v>57.22</v>
      </c>
    </row>
    <row r="1233" spans="1:9" ht="21.75" customHeight="1">
      <c r="A1233" s="8" t="s">
        <v>37</v>
      </c>
      <c r="B1233" s="8" t="s">
        <v>40</v>
      </c>
      <c r="C1233" s="9" t="str">
        <f t="shared" si="19"/>
        <v>230098</v>
      </c>
      <c r="D1233" s="9" t="str">
        <f>"230914628"</f>
        <v>230914628</v>
      </c>
      <c r="E1233" s="10">
        <v>70.42</v>
      </c>
      <c r="F1233" s="10"/>
      <c r="G1233" s="10">
        <v>48.22</v>
      </c>
      <c r="H1233" s="10"/>
      <c r="I1233" s="10">
        <v>57.1</v>
      </c>
    </row>
    <row r="1234" spans="1:9" s="1" customFormat="1" ht="21.75" customHeight="1">
      <c r="A1234" s="8" t="s">
        <v>37</v>
      </c>
      <c r="B1234" s="8" t="s">
        <v>40</v>
      </c>
      <c r="C1234" s="9" t="str">
        <f t="shared" si="19"/>
        <v>230098</v>
      </c>
      <c r="D1234" s="9" t="str">
        <f>"230915105"</f>
        <v>230915105</v>
      </c>
      <c r="E1234" s="10">
        <v>66.180000000000007</v>
      </c>
      <c r="F1234" s="10"/>
      <c r="G1234" s="10">
        <v>50.87</v>
      </c>
      <c r="H1234" s="10"/>
      <c r="I1234" s="10">
        <v>56.99</v>
      </c>
    </row>
    <row r="1235" spans="1:9" ht="21.75" customHeight="1">
      <c r="A1235" s="8" t="s">
        <v>37</v>
      </c>
      <c r="B1235" s="8" t="s">
        <v>40</v>
      </c>
      <c r="C1235" s="9" t="str">
        <f t="shared" si="19"/>
        <v>230098</v>
      </c>
      <c r="D1235" s="9" t="str">
        <f>"230914816"</f>
        <v>230914816</v>
      </c>
      <c r="E1235" s="10">
        <v>72.739999999999995</v>
      </c>
      <c r="F1235" s="10"/>
      <c r="G1235" s="10">
        <v>46.31</v>
      </c>
      <c r="H1235" s="10"/>
      <c r="I1235" s="10">
        <v>56.88</v>
      </c>
    </row>
    <row r="1236" spans="1:9" ht="21.75" customHeight="1">
      <c r="A1236" s="8" t="s">
        <v>37</v>
      </c>
      <c r="B1236" s="8" t="s">
        <v>40</v>
      </c>
      <c r="C1236" s="9" t="str">
        <f t="shared" si="19"/>
        <v>230098</v>
      </c>
      <c r="D1236" s="9" t="str">
        <f>"230915301"</f>
        <v>230915301</v>
      </c>
      <c r="E1236" s="10">
        <v>64.02</v>
      </c>
      <c r="F1236" s="10"/>
      <c r="G1236" s="10">
        <v>51.9</v>
      </c>
      <c r="H1236" s="10"/>
      <c r="I1236" s="10">
        <v>56.75</v>
      </c>
    </row>
    <row r="1237" spans="1:9" ht="21.75" customHeight="1">
      <c r="A1237" s="8" t="s">
        <v>37</v>
      </c>
      <c r="B1237" s="8" t="s">
        <v>40</v>
      </c>
      <c r="C1237" s="9" t="str">
        <f t="shared" si="19"/>
        <v>230098</v>
      </c>
      <c r="D1237" s="9" t="str">
        <f>"230915013"</f>
        <v>230915013</v>
      </c>
      <c r="E1237" s="10">
        <v>69.400000000000006</v>
      </c>
      <c r="F1237" s="10"/>
      <c r="G1237" s="10">
        <v>48.17</v>
      </c>
      <c r="H1237" s="10"/>
      <c r="I1237" s="10">
        <v>56.66</v>
      </c>
    </row>
    <row r="1238" spans="1:9" s="1" customFormat="1" ht="21.75" customHeight="1">
      <c r="A1238" s="8" t="s">
        <v>37</v>
      </c>
      <c r="B1238" s="8" t="s">
        <v>40</v>
      </c>
      <c r="C1238" s="9" t="str">
        <f t="shared" si="19"/>
        <v>230098</v>
      </c>
      <c r="D1238" s="9" t="str">
        <f>"230916020"</f>
        <v>230916020</v>
      </c>
      <c r="E1238" s="10">
        <v>61.11</v>
      </c>
      <c r="F1238" s="10"/>
      <c r="G1238" s="10">
        <v>53.37</v>
      </c>
      <c r="H1238" s="10"/>
      <c r="I1238" s="10">
        <v>56.47</v>
      </c>
    </row>
    <row r="1239" spans="1:9" s="1" customFormat="1" ht="21.75" customHeight="1">
      <c r="A1239" s="8" t="s">
        <v>37</v>
      </c>
      <c r="B1239" s="8" t="s">
        <v>40</v>
      </c>
      <c r="C1239" s="9" t="str">
        <f t="shared" si="19"/>
        <v>230098</v>
      </c>
      <c r="D1239" s="9" t="str">
        <f>"230915020"</f>
        <v>230915020</v>
      </c>
      <c r="E1239" s="10">
        <v>68.459999999999994</v>
      </c>
      <c r="F1239" s="10"/>
      <c r="G1239" s="10">
        <v>48.35</v>
      </c>
      <c r="H1239" s="10"/>
      <c r="I1239" s="10">
        <v>56.39</v>
      </c>
    </row>
    <row r="1240" spans="1:9" s="1" customFormat="1" ht="21.75" customHeight="1">
      <c r="A1240" s="8" t="s">
        <v>37</v>
      </c>
      <c r="B1240" s="8" t="s">
        <v>40</v>
      </c>
      <c r="C1240" s="9" t="str">
        <f t="shared" si="19"/>
        <v>230098</v>
      </c>
      <c r="D1240" s="9" t="str">
        <f>"230914722"</f>
        <v>230914722</v>
      </c>
      <c r="E1240" s="10">
        <v>59.53</v>
      </c>
      <c r="F1240" s="10"/>
      <c r="G1240" s="10">
        <v>53.91</v>
      </c>
      <c r="H1240" s="10"/>
      <c r="I1240" s="10">
        <v>56.16</v>
      </c>
    </row>
    <row r="1241" spans="1:9" ht="21.75" customHeight="1">
      <c r="A1241" s="8" t="s">
        <v>37</v>
      </c>
      <c r="B1241" s="8" t="s">
        <v>40</v>
      </c>
      <c r="C1241" s="9" t="str">
        <f t="shared" si="19"/>
        <v>230098</v>
      </c>
      <c r="D1241" s="9" t="str">
        <f>"230914925"</f>
        <v>230914925</v>
      </c>
      <c r="E1241" s="10">
        <v>67.02</v>
      </c>
      <c r="F1241" s="10"/>
      <c r="G1241" s="10">
        <v>48.85</v>
      </c>
      <c r="H1241" s="10"/>
      <c r="I1241" s="10">
        <v>56.12</v>
      </c>
    </row>
    <row r="1242" spans="1:9" ht="21.75" customHeight="1">
      <c r="A1242" s="8" t="s">
        <v>37</v>
      </c>
      <c r="B1242" s="8" t="s">
        <v>40</v>
      </c>
      <c r="C1242" s="9" t="str">
        <f t="shared" si="19"/>
        <v>230098</v>
      </c>
      <c r="D1242" s="9" t="str">
        <f>"230915910"</f>
        <v>230915910</v>
      </c>
      <c r="E1242" s="10">
        <v>65.260000000000005</v>
      </c>
      <c r="F1242" s="10"/>
      <c r="G1242" s="10">
        <v>49.97</v>
      </c>
      <c r="H1242" s="10"/>
      <c r="I1242" s="10">
        <v>56.09</v>
      </c>
    </row>
    <row r="1243" spans="1:9" s="1" customFormat="1" ht="21.75" customHeight="1">
      <c r="A1243" s="8" t="s">
        <v>37</v>
      </c>
      <c r="B1243" s="8" t="s">
        <v>40</v>
      </c>
      <c r="C1243" s="9" t="str">
        <f t="shared" si="19"/>
        <v>230098</v>
      </c>
      <c r="D1243" s="9" t="str">
        <f>"230915518"</f>
        <v>230915518</v>
      </c>
      <c r="E1243" s="10">
        <v>60.34</v>
      </c>
      <c r="F1243" s="10"/>
      <c r="G1243" s="10">
        <v>53.11</v>
      </c>
      <c r="H1243" s="10"/>
      <c r="I1243" s="10">
        <v>56</v>
      </c>
    </row>
    <row r="1244" spans="1:9" ht="21.75" customHeight="1">
      <c r="A1244" s="8" t="s">
        <v>37</v>
      </c>
      <c r="B1244" s="8" t="s">
        <v>40</v>
      </c>
      <c r="C1244" s="9" t="str">
        <f t="shared" si="19"/>
        <v>230098</v>
      </c>
      <c r="D1244" s="9" t="str">
        <f>"230915221"</f>
        <v>230915221</v>
      </c>
      <c r="E1244" s="10">
        <v>68.13</v>
      </c>
      <c r="F1244" s="10"/>
      <c r="G1244" s="10">
        <v>47.83</v>
      </c>
      <c r="H1244" s="10"/>
      <c r="I1244" s="10">
        <v>55.95</v>
      </c>
    </row>
    <row r="1245" spans="1:9" ht="21.75" customHeight="1">
      <c r="A1245" s="8" t="s">
        <v>37</v>
      </c>
      <c r="B1245" s="8" t="s">
        <v>40</v>
      </c>
      <c r="C1245" s="9" t="str">
        <f t="shared" si="19"/>
        <v>230098</v>
      </c>
      <c r="D1245" s="9" t="str">
        <f>"230916025"</f>
        <v>230916025</v>
      </c>
      <c r="E1245" s="10">
        <v>74.23</v>
      </c>
      <c r="F1245" s="10"/>
      <c r="G1245" s="10">
        <v>43.6</v>
      </c>
      <c r="H1245" s="10"/>
      <c r="I1245" s="10">
        <v>55.85</v>
      </c>
    </row>
    <row r="1246" spans="1:9" ht="21.75" customHeight="1">
      <c r="A1246" s="8" t="s">
        <v>37</v>
      </c>
      <c r="B1246" s="8" t="s">
        <v>40</v>
      </c>
      <c r="C1246" s="9" t="str">
        <f t="shared" si="19"/>
        <v>230098</v>
      </c>
      <c r="D1246" s="9" t="str">
        <f>"230914928"</f>
        <v>230914928</v>
      </c>
      <c r="E1246" s="10">
        <v>54</v>
      </c>
      <c r="F1246" s="10"/>
      <c r="G1246" s="10">
        <v>57</v>
      </c>
      <c r="H1246" s="10"/>
      <c r="I1246" s="10">
        <v>55.8</v>
      </c>
    </row>
    <row r="1247" spans="1:9" ht="21.75" customHeight="1">
      <c r="A1247" s="8" t="s">
        <v>37</v>
      </c>
      <c r="B1247" s="8" t="s">
        <v>40</v>
      </c>
      <c r="C1247" s="9" t="str">
        <f t="shared" si="19"/>
        <v>230098</v>
      </c>
      <c r="D1247" s="9" t="str">
        <f>"230915929"</f>
        <v>230915929</v>
      </c>
      <c r="E1247" s="10">
        <v>67.09</v>
      </c>
      <c r="F1247" s="10"/>
      <c r="G1247" s="10">
        <v>48.16</v>
      </c>
      <c r="H1247" s="10"/>
      <c r="I1247" s="10">
        <v>55.73</v>
      </c>
    </row>
    <row r="1248" spans="1:9" ht="21.75" customHeight="1">
      <c r="A1248" s="8" t="s">
        <v>37</v>
      </c>
      <c r="B1248" s="8" t="s">
        <v>40</v>
      </c>
      <c r="C1248" s="9" t="str">
        <f t="shared" si="19"/>
        <v>230098</v>
      </c>
      <c r="D1248" s="9" t="str">
        <f>"230915027"</f>
        <v>230915027</v>
      </c>
      <c r="E1248" s="10">
        <v>78.14</v>
      </c>
      <c r="F1248" s="10"/>
      <c r="G1248" s="10">
        <v>40.75</v>
      </c>
      <c r="H1248" s="10"/>
      <c r="I1248" s="10">
        <v>55.71</v>
      </c>
    </row>
    <row r="1249" spans="1:9" s="1" customFormat="1" ht="21.75" customHeight="1">
      <c r="A1249" s="8" t="s">
        <v>37</v>
      </c>
      <c r="B1249" s="8" t="s">
        <v>40</v>
      </c>
      <c r="C1249" s="9" t="str">
        <f t="shared" si="19"/>
        <v>230098</v>
      </c>
      <c r="D1249" s="9" t="str">
        <f>"230915925"</f>
        <v>230915925</v>
      </c>
      <c r="E1249" s="10">
        <v>70.33</v>
      </c>
      <c r="F1249" s="10"/>
      <c r="G1249" s="10">
        <v>45.73</v>
      </c>
      <c r="H1249" s="10"/>
      <c r="I1249" s="10">
        <v>55.57</v>
      </c>
    </row>
    <row r="1250" spans="1:9" ht="21.75" customHeight="1">
      <c r="A1250" s="8" t="s">
        <v>37</v>
      </c>
      <c r="B1250" s="8" t="s">
        <v>40</v>
      </c>
      <c r="C1250" s="9" t="str">
        <f t="shared" si="19"/>
        <v>230098</v>
      </c>
      <c r="D1250" s="9" t="str">
        <f>"230915902"</f>
        <v>230915902</v>
      </c>
      <c r="E1250" s="10">
        <v>67.23</v>
      </c>
      <c r="F1250" s="10"/>
      <c r="G1250" s="10">
        <v>47.77</v>
      </c>
      <c r="H1250" s="10"/>
      <c r="I1250" s="10">
        <v>55.55</v>
      </c>
    </row>
    <row r="1251" spans="1:9" ht="21.75" customHeight="1">
      <c r="A1251" s="8" t="s">
        <v>37</v>
      </c>
      <c r="B1251" s="8" t="s">
        <v>40</v>
      </c>
      <c r="C1251" s="9" t="str">
        <f t="shared" si="19"/>
        <v>230098</v>
      </c>
      <c r="D1251" s="9" t="str">
        <f>"230914923"</f>
        <v>230914923</v>
      </c>
      <c r="E1251" s="10">
        <v>71.010000000000005</v>
      </c>
      <c r="F1251" s="10"/>
      <c r="G1251" s="10">
        <v>45.05</v>
      </c>
      <c r="H1251" s="10"/>
      <c r="I1251" s="10">
        <v>55.43</v>
      </c>
    </row>
    <row r="1252" spans="1:9" ht="21.75" customHeight="1">
      <c r="A1252" s="8" t="s">
        <v>37</v>
      </c>
      <c r="B1252" s="8" t="s">
        <v>40</v>
      </c>
      <c r="C1252" s="9" t="str">
        <f t="shared" si="19"/>
        <v>230098</v>
      </c>
      <c r="D1252" s="9" t="str">
        <f>"230915427"</f>
        <v>230915427</v>
      </c>
      <c r="E1252" s="10">
        <v>66.09</v>
      </c>
      <c r="F1252" s="10"/>
      <c r="G1252" s="10">
        <v>48.29</v>
      </c>
      <c r="H1252" s="10"/>
      <c r="I1252" s="10">
        <v>55.41</v>
      </c>
    </row>
    <row r="1253" spans="1:9" ht="21.75" customHeight="1">
      <c r="A1253" s="8" t="s">
        <v>37</v>
      </c>
      <c r="B1253" s="8" t="s">
        <v>40</v>
      </c>
      <c r="C1253" s="9" t="str">
        <f t="shared" si="19"/>
        <v>230098</v>
      </c>
      <c r="D1253" s="9" t="str">
        <f>"230915812"</f>
        <v>230915812</v>
      </c>
      <c r="E1253" s="10">
        <v>57.2</v>
      </c>
      <c r="F1253" s="10"/>
      <c r="G1253" s="10">
        <v>54.15</v>
      </c>
      <c r="H1253" s="10"/>
      <c r="I1253" s="10">
        <v>55.37</v>
      </c>
    </row>
    <row r="1254" spans="1:9" ht="21.75" customHeight="1">
      <c r="A1254" s="8" t="s">
        <v>37</v>
      </c>
      <c r="B1254" s="8" t="s">
        <v>40</v>
      </c>
      <c r="C1254" s="9" t="str">
        <f t="shared" si="19"/>
        <v>230098</v>
      </c>
      <c r="D1254" s="9" t="str">
        <f>"230916018"</f>
        <v>230916018</v>
      </c>
      <c r="E1254" s="10">
        <v>72.739999999999995</v>
      </c>
      <c r="F1254" s="10"/>
      <c r="G1254" s="10">
        <v>43.54</v>
      </c>
      <c r="H1254" s="10"/>
      <c r="I1254" s="10">
        <v>55.22</v>
      </c>
    </row>
    <row r="1255" spans="1:9" s="1" customFormat="1" ht="21.75" customHeight="1">
      <c r="A1255" s="8" t="s">
        <v>37</v>
      </c>
      <c r="B1255" s="8" t="s">
        <v>40</v>
      </c>
      <c r="C1255" s="9" t="str">
        <f t="shared" si="19"/>
        <v>230098</v>
      </c>
      <c r="D1255" s="9" t="str">
        <f>"230914927"</f>
        <v>230914927</v>
      </c>
      <c r="E1255" s="10">
        <v>50.54</v>
      </c>
      <c r="F1255" s="10"/>
      <c r="G1255" s="10">
        <v>58.3</v>
      </c>
      <c r="H1255" s="10"/>
      <c r="I1255" s="10">
        <v>55.2</v>
      </c>
    </row>
    <row r="1256" spans="1:9" ht="21.75" customHeight="1">
      <c r="A1256" s="8" t="s">
        <v>37</v>
      </c>
      <c r="B1256" s="8" t="s">
        <v>40</v>
      </c>
      <c r="C1256" s="9" t="str">
        <f t="shared" si="19"/>
        <v>230098</v>
      </c>
      <c r="D1256" s="9" t="str">
        <f>"230914726"</f>
        <v>230914726</v>
      </c>
      <c r="E1256" s="10">
        <v>55.78</v>
      </c>
      <c r="F1256" s="10"/>
      <c r="G1256" s="10">
        <v>54.79</v>
      </c>
      <c r="H1256" s="10"/>
      <c r="I1256" s="10">
        <v>55.19</v>
      </c>
    </row>
    <row r="1257" spans="1:9" ht="21.75" customHeight="1">
      <c r="A1257" s="8" t="s">
        <v>37</v>
      </c>
      <c r="B1257" s="8" t="s">
        <v>40</v>
      </c>
      <c r="C1257" s="9" t="str">
        <f t="shared" si="19"/>
        <v>230098</v>
      </c>
      <c r="D1257" s="9" t="str">
        <f>"230915826"</f>
        <v>230915826</v>
      </c>
      <c r="E1257" s="10">
        <v>51.8</v>
      </c>
      <c r="F1257" s="10"/>
      <c r="G1257" s="10">
        <v>57.37</v>
      </c>
      <c r="H1257" s="10"/>
      <c r="I1257" s="10">
        <v>55.14</v>
      </c>
    </row>
    <row r="1258" spans="1:9" ht="21.75" customHeight="1">
      <c r="A1258" s="8" t="s">
        <v>37</v>
      </c>
      <c r="B1258" s="8" t="s">
        <v>40</v>
      </c>
      <c r="C1258" s="9" t="str">
        <f t="shared" si="19"/>
        <v>230098</v>
      </c>
      <c r="D1258" s="9" t="str">
        <f>"230915312"</f>
        <v>230915312</v>
      </c>
      <c r="E1258" s="10">
        <v>65.83</v>
      </c>
      <c r="F1258" s="10"/>
      <c r="G1258" s="10">
        <v>47.84</v>
      </c>
      <c r="H1258" s="10"/>
      <c r="I1258" s="10">
        <v>55.04</v>
      </c>
    </row>
    <row r="1259" spans="1:9" ht="21.75" customHeight="1">
      <c r="A1259" s="8" t="s">
        <v>37</v>
      </c>
      <c r="B1259" s="8" t="s">
        <v>40</v>
      </c>
      <c r="C1259" s="9" t="str">
        <f t="shared" si="19"/>
        <v>230098</v>
      </c>
      <c r="D1259" s="9" t="str">
        <f>"230916101"</f>
        <v>230916101</v>
      </c>
      <c r="E1259" s="10">
        <v>58.02</v>
      </c>
      <c r="F1259" s="10"/>
      <c r="G1259" s="10">
        <v>53</v>
      </c>
      <c r="H1259" s="10"/>
      <c r="I1259" s="10">
        <v>55.01</v>
      </c>
    </row>
    <row r="1260" spans="1:9" ht="21.75" customHeight="1">
      <c r="A1260" s="8" t="s">
        <v>37</v>
      </c>
      <c r="B1260" s="8" t="s">
        <v>40</v>
      </c>
      <c r="C1260" s="9" t="str">
        <f t="shared" si="19"/>
        <v>230098</v>
      </c>
      <c r="D1260" s="9" t="str">
        <f>"230916027"</f>
        <v>230916027</v>
      </c>
      <c r="E1260" s="10">
        <v>69.040000000000006</v>
      </c>
      <c r="F1260" s="10"/>
      <c r="G1260" s="10">
        <v>45.53</v>
      </c>
      <c r="H1260" s="10"/>
      <c r="I1260" s="10">
        <v>54.93</v>
      </c>
    </row>
    <row r="1261" spans="1:9" s="1" customFormat="1" ht="21.75" customHeight="1">
      <c r="A1261" s="8" t="s">
        <v>37</v>
      </c>
      <c r="B1261" s="8" t="s">
        <v>40</v>
      </c>
      <c r="C1261" s="9" t="str">
        <f t="shared" si="19"/>
        <v>230098</v>
      </c>
      <c r="D1261" s="9" t="str">
        <f>"230915507"</f>
        <v>230915507</v>
      </c>
      <c r="E1261" s="10">
        <v>64.11</v>
      </c>
      <c r="F1261" s="10"/>
      <c r="G1261" s="10">
        <v>48.8</v>
      </c>
      <c r="H1261" s="10"/>
      <c r="I1261" s="10">
        <v>54.92</v>
      </c>
    </row>
    <row r="1262" spans="1:9" ht="21.75" customHeight="1">
      <c r="A1262" s="8" t="s">
        <v>37</v>
      </c>
      <c r="B1262" s="8" t="s">
        <v>40</v>
      </c>
      <c r="C1262" s="9" t="str">
        <f t="shared" ref="C1262:C1325" si="20">"230098"</f>
        <v>230098</v>
      </c>
      <c r="D1262" s="9" t="str">
        <f>"230915019"</f>
        <v>230915019</v>
      </c>
      <c r="E1262" s="10">
        <v>63.08</v>
      </c>
      <c r="F1262" s="10"/>
      <c r="G1262" s="10">
        <v>49.47</v>
      </c>
      <c r="H1262" s="10"/>
      <c r="I1262" s="10">
        <v>54.91</v>
      </c>
    </row>
    <row r="1263" spans="1:9" ht="21.75" customHeight="1">
      <c r="A1263" s="8" t="s">
        <v>37</v>
      </c>
      <c r="B1263" s="8" t="s">
        <v>40</v>
      </c>
      <c r="C1263" s="9" t="str">
        <f t="shared" si="20"/>
        <v>230098</v>
      </c>
      <c r="D1263" s="9" t="str">
        <f>"230916023"</f>
        <v>230916023</v>
      </c>
      <c r="E1263" s="10">
        <v>64.58</v>
      </c>
      <c r="F1263" s="10"/>
      <c r="G1263" s="10">
        <v>48.32</v>
      </c>
      <c r="H1263" s="10"/>
      <c r="I1263" s="10">
        <v>54.82</v>
      </c>
    </row>
    <row r="1264" spans="1:9" ht="21.75" customHeight="1">
      <c r="A1264" s="8" t="s">
        <v>37</v>
      </c>
      <c r="B1264" s="8" t="s">
        <v>40</v>
      </c>
      <c r="C1264" s="9" t="str">
        <f t="shared" si="20"/>
        <v>230098</v>
      </c>
      <c r="D1264" s="9" t="str">
        <f>"230914627"</f>
        <v>230914627</v>
      </c>
      <c r="E1264" s="10">
        <v>71.819999999999993</v>
      </c>
      <c r="F1264" s="10"/>
      <c r="G1264" s="10">
        <v>43.47</v>
      </c>
      <c r="H1264" s="10"/>
      <c r="I1264" s="10">
        <v>54.81</v>
      </c>
    </row>
    <row r="1265" spans="1:9" ht="21.75" customHeight="1">
      <c r="A1265" s="8" t="s">
        <v>37</v>
      </c>
      <c r="B1265" s="8" t="s">
        <v>40</v>
      </c>
      <c r="C1265" s="9" t="str">
        <f t="shared" si="20"/>
        <v>230098</v>
      </c>
      <c r="D1265" s="9" t="str">
        <f>"230915523"</f>
        <v>230915523</v>
      </c>
      <c r="E1265" s="10">
        <v>65.150000000000006</v>
      </c>
      <c r="F1265" s="10"/>
      <c r="G1265" s="10">
        <v>47.73</v>
      </c>
      <c r="H1265" s="10"/>
      <c r="I1265" s="10">
        <v>54.7</v>
      </c>
    </row>
    <row r="1266" spans="1:9" ht="21.75" customHeight="1">
      <c r="A1266" s="8" t="s">
        <v>37</v>
      </c>
      <c r="B1266" s="8" t="s">
        <v>40</v>
      </c>
      <c r="C1266" s="9" t="str">
        <f t="shared" si="20"/>
        <v>230098</v>
      </c>
      <c r="D1266" s="9" t="str">
        <f>"230914909"</f>
        <v>230914909</v>
      </c>
      <c r="E1266" s="10">
        <v>58.47</v>
      </c>
      <c r="F1266" s="10"/>
      <c r="G1266" s="10">
        <v>52.03</v>
      </c>
      <c r="H1266" s="10"/>
      <c r="I1266" s="10">
        <v>54.61</v>
      </c>
    </row>
    <row r="1267" spans="1:9" ht="21.75" customHeight="1">
      <c r="A1267" s="8" t="s">
        <v>37</v>
      </c>
      <c r="B1267" s="8" t="s">
        <v>40</v>
      </c>
      <c r="C1267" s="9" t="str">
        <f t="shared" si="20"/>
        <v>230098</v>
      </c>
      <c r="D1267" s="9" t="str">
        <f>"230915010"</f>
        <v>230915010</v>
      </c>
      <c r="E1267" s="10">
        <v>73.319999999999993</v>
      </c>
      <c r="F1267" s="10"/>
      <c r="G1267" s="10">
        <v>41.87</v>
      </c>
      <c r="H1267" s="10"/>
      <c r="I1267" s="10">
        <v>54.45</v>
      </c>
    </row>
    <row r="1268" spans="1:9" s="1" customFormat="1" ht="21.75" customHeight="1">
      <c r="A1268" s="8" t="s">
        <v>37</v>
      </c>
      <c r="B1268" s="8" t="s">
        <v>40</v>
      </c>
      <c r="C1268" s="9" t="str">
        <f t="shared" si="20"/>
        <v>230098</v>
      </c>
      <c r="D1268" s="9" t="str">
        <f>"230915722"</f>
        <v>230915722</v>
      </c>
      <c r="E1268" s="10">
        <v>69.39</v>
      </c>
      <c r="F1268" s="10"/>
      <c r="G1268" s="10">
        <v>44.41</v>
      </c>
      <c r="H1268" s="10"/>
      <c r="I1268" s="10">
        <v>54.4</v>
      </c>
    </row>
    <row r="1269" spans="1:9" ht="21.75" customHeight="1">
      <c r="A1269" s="8" t="s">
        <v>37</v>
      </c>
      <c r="B1269" s="8" t="s">
        <v>40</v>
      </c>
      <c r="C1269" s="9" t="str">
        <f t="shared" si="20"/>
        <v>230098</v>
      </c>
      <c r="D1269" s="9" t="str">
        <f>"230915404"</f>
        <v>230915404</v>
      </c>
      <c r="E1269" s="10">
        <v>66.19</v>
      </c>
      <c r="F1269" s="10"/>
      <c r="G1269" s="10">
        <v>46.3</v>
      </c>
      <c r="H1269" s="10"/>
      <c r="I1269" s="10">
        <v>54.26</v>
      </c>
    </row>
    <row r="1270" spans="1:9" ht="21.75" customHeight="1">
      <c r="A1270" s="8" t="s">
        <v>37</v>
      </c>
      <c r="B1270" s="8" t="s">
        <v>40</v>
      </c>
      <c r="C1270" s="9" t="str">
        <f t="shared" si="20"/>
        <v>230098</v>
      </c>
      <c r="D1270" s="9" t="str">
        <f>"230914719"</f>
        <v>230914719</v>
      </c>
      <c r="E1270" s="10">
        <v>64.78</v>
      </c>
      <c r="F1270" s="10"/>
      <c r="G1270" s="10">
        <v>47.08</v>
      </c>
      <c r="H1270" s="10"/>
      <c r="I1270" s="10">
        <v>54.16</v>
      </c>
    </row>
    <row r="1271" spans="1:9" ht="21.75" customHeight="1">
      <c r="A1271" s="8" t="s">
        <v>37</v>
      </c>
      <c r="B1271" s="8" t="s">
        <v>40</v>
      </c>
      <c r="C1271" s="9" t="str">
        <f t="shared" si="20"/>
        <v>230098</v>
      </c>
      <c r="D1271" s="9" t="str">
        <f>"230915414"</f>
        <v>230915414</v>
      </c>
      <c r="E1271" s="10">
        <v>69.05</v>
      </c>
      <c r="F1271" s="10"/>
      <c r="G1271" s="10">
        <v>44.09</v>
      </c>
      <c r="H1271" s="10"/>
      <c r="I1271" s="10">
        <v>54.07</v>
      </c>
    </row>
    <row r="1272" spans="1:9" ht="21.75" customHeight="1">
      <c r="A1272" s="8" t="s">
        <v>37</v>
      </c>
      <c r="B1272" s="8" t="s">
        <v>40</v>
      </c>
      <c r="C1272" s="9" t="str">
        <f t="shared" si="20"/>
        <v>230098</v>
      </c>
      <c r="D1272" s="9" t="str">
        <f>"230914723"</f>
        <v>230914723</v>
      </c>
      <c r="E1272" s="10">
        <v>57.32</v>
      </c>
      <c r="F1272" s="10"/>
      <c r="G1272" s="10">
        <v>51.47</v>
      </c>
      <c r="H1272" s="10"/>
      <c r="I1272" s="10">
        <v>53.81</v>
      </c>
    </row>
    <row r="1273" spans="1:9" s="1" customFormat="1" ht="21.75" customHeight="1">
      <c r="A1273" s="8" t="s">
        <v>37</v>
      </c>
      <c r="B1273" s="8" t="s">
        <v>40</v>
      </c>
      <c r="C1273" s="9" t="str">
        <f t="shared" si="20"/>
        <v>230098</v>
      </c>
      <c r="D1273" s="9" t="str">
        <f>"230914822"</f>
        <v>230914822</v>
      </c>
      <c r="E1273" s="10">
        <v>47.89</v>
      </c>
      <c r="F1273" s="10"/>
      <c r="G1273" s="10">
        <v>57.67</v>
      </c>
      <c r="H1273" s="10"/>
      <c r="I1273" s="10">
        <v>53.76</v>
      </c>
    </row>
    <row r="1274" spans="1:9" ht="21.75" customHeight="1">
      <c r="A1274" s="8" t="s">
        <v>37</v>
      </c>
      <c r="B1274" s="8" t="s">
        <v>40</v>
      </c>
      <c r="C1274" s="9" t="str">
        <f t="shared" si="20"/>
        <v>230098</v>
      </c>
      <c r="D1274" s="9" t="str">
        <f>"230915825"</f>
        <v>230915825</v>
      </c>
      <c r="E1274" s="10">
        <v>57.09</v>
      </c>
      <c r="F1274" s="10"/>
      <c r="G1274" s="10">
        <v>51.33</v>
      </c>
      <c r="H1274" s="10"/>
      <c r="I1274" s="10">
        <v>53.63</v>
      </c>
    </row>
    <row r="1275" spans="1:9" ht="21.75" customHeight="1">
      <c r="A1275" s="8" t="s">
        <v>37</v>
      </c>
      <c r="B1275" s="8" t="s">
        <v>40</v>
      </c>
      <c r="C1275" s="9" t="str">
        <f t="shared" si="20"/>
        <v>230098</v>
      </c>
      <c r="D1275" s="9" t="str">
        <f>"230916102"</f>
        <v>230916102</v>
      </c>
      <c r="E1275" s="10">
        <v>62.16</v>
      </c>
      <c r="F1275" s="10"/>
      <c r="G1275" s="10">
        <v>47.89</v>
      </c>
      <c r="H1275" s="10"/>
      <c r="I1275" s="10">
        <v>53.6</v>
      </c>
    </row>
    <row r="1276" spans="1:9" ht="21.75" customHeight="1">
      <c r="A1276" s="8" t="s">
        <v>37</v>
      </c>
      <c r="B1276" s="8" t="s">
        <v>40</v>
      </c>
      <c r="C1276" s="9" t="str">
        <f t="shared" si="20"/>
        <v>230098</v>
      </c>
      <c r="D1276" s="9" t="str">
        <f>"230915201"</f>
        <v>230915201</v>
      </c>
      <c r="E1276" s="10">
        <v>63.54</v>
      </c>
      <c r="F1276" s="10"/>
      <c r="G1276" s="10">
        <v>46.91</v>
      </c>
      <c r="H1276" s="10"/>
      <c r="I1276" s="10">
        <v>53.56</v>
      </c>
    </row>
    <row r="1277" spans="1:9" ht="21.75" customHeight="1">
      <c r="A1277" s="8" t="s">
        <v>37</v>
      </c>
      <c r="B1277" s="8" t="s">
        <v>40</v>
      </c>
      <c r="C1277" s="9" t="str">
        <f t="shared" si="20"/>
        <v>230098</v>
      </c>
      <c r="D1277" s="9" t="str">
        <f>"230915719"</f>
        <v>230915719</v>
      </c>
      <c r="E1277" s="10">
        <v>70.540000000000006</v>
      </c>
      <c r="F1277" s="10"/>
      <c r="G1277" s="10">
        <v>42.05</v>
      </c>
      <c r="H1277" s="10"/>
      <c r="I1277" s="10">
        <v>53.45</v>
      </c>
    </row>
    <row r="1278" spans="1:9" ht="21.75" customHeight="1">
      <c r="A1278" s="8" t="s">
        <v>37</v>
      </c>
      <c r="B1278" s="8" t="s">
        <v>40</v>
      </c>
      <c r="C1278" s="9" t="str">
        <f t="shared" si="20"/>
        <v>230098</v>
      </c>
      <c r="D1278" s="9" t="str">
        <f>"230915111"</f>
        <v>230915111</v>
      </c>
      <c r="E1278" s="10">
        <v>65.48</v>
      </c>
      <c r="F1278" s="10"/>
      <c r="G1278" s="10">
        <v>45.13</v>
      </c>
      <c r="H1278" s="10"/>
      <c r="I1278" s="10">
        <v>53.27</v>
      </c>
    </row>
    <row r="1279" spans="1:9" ht="21.75" customHeight="1">
      <c r="A1279" s="8" t="s">
        <v>37</v>
      </c>
      <c r="B1279" s="8" t="s">
        <v>40</v>
      </c>
      <c r="C1279" s="9" t="str">
        <f t="shared" si="20"/>
        <v>230098</v>
      </c>
      <c r="D1279" s="9" t="str">
        <f>"230915225"</f>
        <v>230915225</v>
      </c>
      <c r="E1279" s="10">
        <v>64.45</v>
      </c>
      <c r="F1279" s="10"/>
      <c r="G1279" s="10">
        <v>45.79</v>
      </c>
      <c r="H1279" s="10"/>
      <c r="I1279" s="10">
        <v>53.25</v>
      </c>
    </row>
    <row r="1280" spans="1:9" s="1" customFormat="1" ht="21.75" customHeight="1">
      <c r="A1280" s="8" t="s">
        <v>37</v>
      </c>
      <c r="B1280" s="8" t="s">
        <v>40</v>
      </c>
      <c r="C1280" s="9" t="str">
        <f t="shared" si="20"/>
        <v>230098</v>
      </c>
      <c r="D1280" s="9" t="str">
        <f>"230916010"</f>
        <v>230916010</v>
      </c>
      <c r="E1280" s="10">
        <v>59.51</v>
      </c>
      <c r="F1280" s="10"/>
      <c r="G1280" s="10">
        <v>48.96</v>
      </c>
      <c r="H1280" s="10"/>
      <c r="I1280" s="10">
        <v>53.18</v>
      </c>
    </row>
    <row r="1281" spans="1:9" ht="21.75" customHeight="1">
      <c r="A1281" s="8" t="s">
        <v>37</v>
      </c>
      <c r="B1281" s="8" t="s">
        <v>40</v>
      </c>
      <c r="C1281" s="9" t="str">
        <f t="shared" si="20"/>
        <v>230098</v>
      </c>
      <c r="D1281" s="9" t="str">
        <f>"230915227"</f>
        <v>230915227</v>
      </c>
      <c r="E1281" s="10">
        <v>69.39</v>
      </c>
      <c r="F1281" s="10"/>
      <c r="G1281" s="10">
        <v>42.33</v>
      </c>
      <c r="H1281" s="10"/>
      <c r="I1281" s="10">
        <v>53.15</v>
      </c>
    </row>
    <row r="1282" spans="1:9" s="1" customFormat="1" ht="21.75" customHeight="1">
      <c r="A1282" s="8" t="s">
        <v>37</v>
      </c>
      <c r="B1282" s="8" t="s">
        <v>40</v>
      </c>
      <c r="C1282" s="9" t="str">
        <f t="shared" si="20"/>
        <v>230098</v>
      </c>
      <c r="D1282" s="9" t="str">
        <f>"230915422"</f>
        <v>230915422</v>
      </c>
      <c r="E1282" s="10">
        <v>67.680000000000007</v>
      </c>
      <c r="F1282" s="10"/>
      <c r="G1282" s="10">
        <v>43.21</v>
      </c>
      <c r="H1282" s="10"/>
      <c r="I1282" s="10">
        <v>53</v>
      </c>
    </row>
    <row r="1283" spans="1:9" s="1" customFormat="1" ht="21.75" customHeight="1">
      <c r="A1283" s="8" t="s">
        <v>37</v>
      </c>
      <c r="B1283" s="8" t="s">
        <v>40</v>
      </c>
      <c r="C1283" s="9" t="str">
        <f t="shared" si="20"/>
        <v>230098</v>
      </c>
      <c r="D1283" s="9" t="str">
        <f>"230915109"</f>
        <v>230915109</v>
      </c>
      <c r="E1283" s="10">
        <v>53.88</v>
      </c>
      <c r="F1283" s="10"/>
      <c r="G1283" s="10">
        <v>52.29</v>
      </c>
      <c r="H1283" s="10"/>
      <c r="I1283" s="10">
        <v>52.93</v>
      </c>
    </row>
    <row r="1284" spans="1:9" ht="21.75" customHeight="1">
      <c r="A1284" s="8" t="s">
        <v>37</v>
      </c>
      <c r="B1284" s="8" t="s">
        <v>40</v>
      </c>
      <c r="C1284" s="9" t="str">
        <f t="shared" si="20"/>
        <v>230098</v>
      </c>
      <c r="D1284" s="9" t="str">
        <f>"230916114"</f>
        <v>230916114</v>
      </c>
      <c r="E1284" s="10">
        <v>69.739999999999995</v>
      </c>
      <c r="F1284" s="10"/>
      <c r="G1284" s="10">
        <v>41.18</v>
      </c>
      <c r="H1284" s="10"/>
      <c r="I1284" s="10">
        <v>52.6</v>
      </c>
    </row>
    <row r="1285" spans="1:9" ht="21.75" customHeight="1">
      <c r="A1285" s="8" t="s">
        <v>37</v>
      </c>
      <c r="B1285" s="8" t="s">
        <v>40</v>
      </c>
      <c r="C1285" s="9" t="str">
        <f t="shared" si="20"/>
        <v>230098</v>
      </c>
      <c r="D1285" s="9" t="str">
        <f>"230915509"</f>
        <v>230915509</v>
      </c>
      <c r="E1285" s="10">
        <v>70.31</v>
      </c>
      <c r="F1285" s="10"/>
      <c r="G1285" s="10">
        <v>40.659999999999997</v>
      </c>
      <c r="H1285" s="10"/>
      <c r="I1285" s="10">
        <v>52.52</v>
      </c>
    </row>
    <row r="1286" spans="1:9" ht="21.75" customHeight="1">
      <c r="A1286" s="8" t="s">
        <v>37</v>
      </c>
      <c r="B1286" s="8" t="s">
        <v>40</v>
      </c>
      <c r="C1286" s="9" t="str">
        <f t="shared" si="20"/>
        <v>230098</v>
      </c>
      <c r="D1286" s="9" t="str">
        <f>"230915708"</f>
        <v>230915708</v>
      </c>
      <c r="E1286" s="10">
        <v>58.03</v>
      </c>
      <c r="F1286" s="10"/>
      <c r="G1286" s="10">
        <v>48.73</v>
      </c>
      <c r="H1286" s="10"/>
      <c r="I1286" s="10">
        <v>52.45</v>
      </c>
    </row>
    <row r="1287" spans="1:9" ht="21.75" customHeight="1">
      <c r="A1287" s="8" t="s">
        <v>37</v>
      </c>
      <c r="B1287" s="8" t="s">
        <v>40</v>
      </c>
      <c r="C1287" s="9" t="str">
        <f t="shared" si="20"/>
        <v>230098</v>
      </c>
      <c r="D1287" s="9" t="str">
        <f>"230915827"</f>
        <v>230915827</v>
      </c>
      <c r="E1287" s="10">
        <v>70.08</v>
      </c>
      <c r="F1287" s="10"/>
      <c r="G1287" s="10">
        <v>40.6</v>
      </c>
      <c r="H1287" s="10"/>
      <c r="I1287" s="10">
        <v>52.39</v>
      </c>
    </row>
    <row r="1288" spans="1:9" s="1" customFormat="1" ht="21.75" customHeight="1">
      <c r="A1288" s="8" t="s">
        <v>37</v>
      </c>
      <c r="B1288" s="8" t="s">
        <v>40</v>
      </c>
      <c r="C1288" s="9" t="str">
        <f t="shared" si="20"/>
        <v>230098</v>
      </c>
      <c r="D1288" s="9" t="str">
        <f>"230916019"</f>
        <v>230916019</v>
      </c>
      <c r="E1288" s="10">
        <v>58.14</v>
      </c>
      <c r="F1288" s="10"/>
      <c r="G1288" s="10">
        <v>48.4</v>
      </c>
      <c r="H1288" s="10"/>
      <c r="I1288" s="10">
        <v>52.3</v>
      </c>
    </row>
    <row r="1289" spans="1:9" ht="21.75" customHeight="1">
      <c r="A1289" s="8" t="s">
        <v>37</v>
      </c>
      <c r="B1289" s="8" t="s">
        <v>40</v>
      </c>
      <c r="C1289" s="9" t="str">
        <f t="shared" si="20"/>
        <v>230098</v>
      </c>
      <c r="D1289" s="9" t="str">
        <f>"230915621"</f>
        <v>230915621</v>
      </c>
      <c r="E1289" s="10">
        <v>64.8</v>
      </c>
      <c r="F1289" s="10"/>
      <c r="G1289" s="10">
        <v>43.88</v>
      </c>
      <c r="H1289" s="10"/>
      <c r="I1289" s="10">
        <v>52.25</v>
      </c>
    </row>
    <row r="1290" spans="1:9" s="1" customFormat="1" ht="21.75" customHeight="1">
      <c r="A1290" s="8" t="s">
        <v>37</v>
      </c>
      <c r="B1290" s="8" t="s">
        <v>40</v>
      </c>
      <c r="C1290" s="9" t="str">
        <f t="shared" si="20"/>
        <v>230098</v>
      </c>
      <c r="D1290" s="9" t="str">
        <f>"230915723"</f>
        <v>230915723</v>
      </c>
      <c r="E1290" s="10">
        <v>65.599999999999994</v>
      </c>
      <c r="F1290" s="10"/>
      <c r="G1290" s="10">
        <v>43.24</v>
      </c>
      <c r="H1290" s="10"/>
      <c r="I1290" s="10">
        <v>52.18</v>
      </c>
    </row>
    <row r="1291" spans="1:9" ht="21.75" customHeight="1">
      <c r="A1291" s="8" t="s">
        <v>37</v>
      </c>
      <c r="B1291" s="8" t="s">
        <v>40</v>
      </c>
      <c r="C1291" s="9" t="str">
        <f t="shared" si="20"/>
        <v>230098</v>
      </c>
      <c r="D1291" s="9" t="str">
        <f>"230915125"</f>
        <v>230915125</v>
      </c>
      <c r="E1291" s="10">
        <v>69.87</v>
      </c>
      <c r="F1291" s="10"/>
      <c r="G1291" s="10">
        <v>40.22</v>
      </c>
      <c r="H1291" s="10"/>
      <c r="I1291" s="10">
        <v>52.08</v>
      </c>
    </row>
    <row r="1292" spans="1:9" ht="21.75" customHeight="1">
      <c r="A1292" s="8" t="s">
        <v>37</v>
      </c>
      <c r="B1292" s="8" t="s">
        <v>40</v>
      </c>
      <c r="C1292" s="9" t="str">
        <f t="shared" si="20"/>
        <v>230098</v>
      </c>
      <c r="D1292" s="9" t="str">
        <f>"230915619"</f>
        <v>230915619</v>
      </c>
      <c r="E1292" s="10">
        <v>66.650000000000006</v>
      </c>
      <c r="F1292" s="10"/>
      <c r="G1292" s="10">
        <v>42.28</v>
      </c>
      <c r="H1292" s="10"/>
      <c r="I1292" s="10">
        <v>52.03</v>
      </c>
    </row>
    <row r="1293" spans="1:9" ht="21.75" customHeight="1">
      <c r="A1293" s="8" t="s">
        <v>37</v>
      </c>
      <c r="B1293" s="8" t="s">
        <v>40</v>
      </c>
      <c r="C1293" s="9" t="str">
        <f t="shared" si="20"/>
        <v>230098</v>
      </c>
      <c r="D1293" s="9" t="str">
        <f>"230915820"</f>
        <v>230915820</v>
      </c>
      <c r="E1293" s="10">
        <v>59.04</v>
      </c>
      <c r="F1293" s="10"/>
      <c r="G1293" s="10">
        <v>47.3</v>
      </c>
      <c r="H1293" s="10"/>
      <c r="I1293" s="10">
        <v>52</v>
      </c>
    </row>
    <row r="1294" spans="1:9" ht="21.75" customHeight="1">
      <c r="A1294" s="8" t="s">
        <v>37</v>
      </c>
      <c r="B1294" s="8" t="s">
        <v>40</v>
      </c>
      <c r="C1294" s="9" t="str">
        <f t="shared" si="20"/>
        <v>230098</v>
      </c>
      <c r="D1294" s="9" t="str">
        <f>"230915618"</f>
        <v>230915618</v>
      </c>
      <c r="E1294" s="10">
        <v>58.94</v>
      </c>
      <c r="F1294" s="10"/>
      <c r="G1294" s="10">
        <v>46.94</v>
      </c>
      <c r="H1294" s="10"/>
      <c r="I1294" s="10">
        <v>51.74</v>
      </c>
    </row>
    <row r="1295" spans="1:9" ht="21.75" customHeight="1">
      <c r="A1295" s="8" t="s">
        <v>37</v>
      </c>
      <c r="B1295" s="8" t="s">
        <v>40</v>
      </c>
      <c r="C1295" s="9" t="str">
        <f t="shared" si="20"/>
        <v>230098</v>
      </c>
      <c r="D1295" s="9" t="str">
        <f>"230915528"</f>
        <v>230915528</v>
      </c>
      <c r="E1295" s="10">
        <v>62.07</v>
      </c>
      <c r="F1295" s="10"/>
      <c r="G1295" s="10">
        <v>44.82</v>
      </c>
      <c r="H1295" s="10"/>
      <c r="I1295" s="10">
        <v>51.72</v>
      </c>
    </row>
    <row r="1296" spans="1:9" ht="21.75" customHeight="1">
      <c r="A1296" s="8" t="s">
        <v>37</v>
      </c>
      <c r="B1296" s="8" t="s">
        <v>40</v>
      </c>
      <c r="C1296" s="9" t="str">
        <f t="shared" si="20"/>
        <v>230098</v>
      </c>
      <c r="D1296" s="9" t="str">
        <f>"230915814"</f>
        <v>230915814</v>
      </c>
      <c r="E1296" s="10">
        <v>61.85</v>
      </c>
      <c r="F1296" s="10"/>
      <c r="G1296" s="10">
        <v>44.97</v>
      </c>
      <c r="H1296" s="10"/>
      <c r="I1296" s="10">
        <v>51.72</v>
      </c>
    </row>
    <row r="1297" spans="1:9" ht="21.75" customHeight="1">
      <c r="A1297" s="8" t="s">
        <v>37</v>
      </c>
      <c r="B1297" s="8" t="s">
        <v>40</v>
      </c>
      <c r="C1297" s="9" t="str">
        <f t="shared" si="20"/>
        <v>230098</v>
      </c>
      <c r="D1297" s="9" t="str">
        <f>"230914706"</f>
        <v>230914706</v>
      </c>
      <c r="E1297" s="10">
        <v>60.34</v>
      </c>
      <c r="F1297" s="10"/>
      <c r="G1297" s="10">
        <v>45.92</v>
      </c>
      <c r="H1297" s="10"/>
      <c r="I1297" s="10">
        <v>51.69</v>
      </c>
    </row>
    <row r="1298" spans="1:9" ht="21.75" customHeight="1">
      <c r="A1298" s="8" t="s">
        <v>37</v>
      </c>
      <c r="B1298" s="8" t="s">
        <v>40</v>
      </c>
      <c r="C1298" s="9" t="str">
        <f t="shared" si="20"/>
        <v>230098</v>
      </c>
      <c r="D1298" s="9" t="str">
        <f>"230914810"</f>
        <v>230914810</v>
      </c>
      <c r="E1298" s="10">
        <v>54.23</v>
      </c>
      <c r="F1298" s="10"/>
      <c r="G1298" s="10">
        <v>49.83</v>
      </c>
      <c r="H1298" s="10"/>
      <c r="I1298" s="10">
        <v>51.59</v>
      </c>
    </row>
    <row r="1299" spans="1:9" ht="21.75" customHeight="1">
      <c r="A1299" s="8" t="s">
        <v>37</v>
      </c>
      <c r="B1299" s="8" t="s">
        <v>40</v>
      </c>
      <c r="C1299" s="9" t="str">
        <f t="shared" si="20"/>
        <v>230098</v>
      </c>
      <c r="D1299" s="9" t="str">
        <f>"230915617"</f>
        <v>230915617</v>
      </c>
      <c r="E1299" s="10">
        <v>56.4</v>
      </c>
      <c r="F1299" s="10"/>
      <c r="G1299" s="10">
        <v>48.18</v>
      </c>
      <c r="H1299" s="10"/>
      <c r="I1299" s="10">
        <v>51.47</v>
      </c>
    </row>
    <row r="1300" spans="1:9" ht="21.75" customHeight="1">
      <c r="A1300" s="8" t="s">
        <v>37</v>
      </c>
      <c r="B1300" s="8" t="s">
        <v>40</v>
      </c>
      <c r="C1300" s="9" t="str">
        <f t="shared" si="20"/>
        <v>230098</v>
      </c>
      <c r="D1300" s="9" t="str">
        <f>"230915701"</f>
        <v>230915701</v>
      </c>
      <c r="E1300" s="10">
        <v>56.53</v>
      </c>
      <c r="F1300" s="10"/>
      <c r="G1300" s="10">
        <v>47.93</v>
      </c>
      <c r="H1300" s="10"/>
      <c r="I1300" s="10">
        <v>51.37</v>
      </c>
    </row>
    <row r="1301" spans="1:9" ht="21.75" customHeight="1">
      <c r="A1301" s="8" t="s">
        <v>37</v>
      </c>
      <c r="B1301" s="8" t="s">
        <v>40</v>
      </c>
      <c r="C1301" s="9" t="str">
        <f t="shared" si="20"/>
        <v>230098</v>
      </c>
      <c r="D1301" s="9" t="str">
        <f>"230916013"</f>
        <v>230916013</v>
      </c>
      <c r="E1301" s="10">
        <v>67.91</v>
      </c>
      <c r="F1301" s="10"/>
      <c r="G1301" s="10">
        <v>39.65</v>
      </c>
      <c r="H1301" s="10"/>
      <c r="I1301" s="10">
        <v>50.95</v>
      </c>
    </row>
    <row r="1302" spans="1:9" ht="21.75" customHeight="1">
      <c r="A1302" s="8" t="s">
        <v>37</v>
      </c>
      <c r="B1302" s="8" t="s">
        <v>40</v>
      </c>
      <c r="C1302" s="9" t="str">
        <f t="shared" si="20"/>
        <v>230098</v>
      </c>
      <c r="D1302" s="9" t="str">
        <f>"230915210"</f>
        <v>230915210</v>
      </c>
      <c r="E1302" s="10">
        <v>64.459999999999994</v>
      </c>
      <c r="F1302" s="10"/>
      <c r="G1302" s="10">
        <v>41.92</v>
      </c>
      <c r="H1302" s="10"/>
      <c r="I1302" s="10">
        <v>50.94</v>
      </c>
    </row>
    <row r="1303" spans="1:9" ht="21.75" customHeight="1">
      <c r="A1303" s="8" t="s">
        <v>37</v>
      </c>
      <c r="B1303" s="8" t="s">
        <v>40</v>
      </c>
      <c r="C1303" s="9" t="str">
        <f t="shared" si="20"/>
        <v>230098</v>
      </c>
      <c r="D1303" s="9" t="str">
        <f>"230915220"</f>
        <v>230915220</v>
      </c>
      <c r="E1303" s="10">
        <v>73.099999999999994</v>
      </c>
      <c r="F1303" s="10"/>
      <c r="G1303" s="10">
        <v>36.049999999999997</v>
      </c>
      <c r="H1303" s="10"/>
      <c r="I1303" s="10">
        <v>50.87</v>
      </c>
    </row>
    <row r="1304" spans="1:9" ht="21.75" customHeight="1">
      <c r="A1304" s="8" t="s">
        <v>37</v>
      </c>
      <c r="B1304" s="8" t="s">
        <v>40</v>
      </c>
      <c r="C1304" s="9" t="str">
        <f t="shared" si="20"/>
        <v>230098</v>
      </c>
      <c r="D1304" s="9" t="str">
        <f>"230915402"</f>
        <v>230915402</v>
      </c>
      <c r="E1304" s="10">
        <v>61.83</v>
      </c>
      <c r="F1304" s="10"/>
      <c r="G1304" s="10">
        <v>43.57</v>
      </c>
      <c r="H1304" s="10"/>
      <c r="I1304" s="10">
        <v>50.87</v>
      </c>
    </row>
    <row r="1305" spans="1:9" s="1" customFormat="1" ht="21.75" customHeight="1">
      <c r="A1305" s="8" t="s">
        <v>37</v>
      </c>
      <c r="B1305" s="8" t="s">
        <v>40</v>
      </c>
      <c r="C1305" s="9" t="str">
        <f t="shared" si="20"/>
        <v>230098</v>
      </c>
      <c r="D1305" s="9" t="str">
        <f>"230915923"</f>
        <v>230915923</v>
      </c>
      <c r="E1305" s="10">
        <v>60.56</v>
      </c>
      <c r="F1305" s="10"/>
      <c r="G1305" s="10">
        <v>44.33</v>
      </c>
      <c r="H1305" s="10"/>
      <c r="I1305" s="10">
        <v>50.82</v>
      </c>
    </row>
    <row r="1306" spans="1:9" ht="21.75" customHeight="1">
      <c r="A1306" s="8" t="s">
        <v>37</v>
      </c>
      <c r="B1306" s="8" t="s">
        <v>40</v>
      </c>
      <c r="C1306" s="9" t="str">
        <f t="shared" si="20"/>
        <v>230098</v>
      </c>
      <c r="D1306" s="9" t="str">
        <f>"230915906"</f>
        <v>230915906</v>
      </c>
      <c r="E1306" s="10">
        <v>63.2</v>
      </c>
      <c r="F1306" s="10"/>
      <c r="G1306" s="10">
        <v>42.5</v>
      </c>
      <c r="H1306" s="10"/>
      <c r="I1306" s="10">
        <v>50.78</v>
      </c>
    </row>
    <row r="1307" spans="1:9" ht="21.75" customHeight="1">
      <c r="A1307" s="8" t="s">
        <v>37</v>
      </c>
      <c r="B1307" s="8" t="s">
        <v>40</v>
      </c>
      <c r="C1307" s="9" t="str">
        <f t="shared" si="20"/>
        <v>230098</v>
      </c>
      <c r="D1307" s="9" t="str">
        <f>"230915208"</f>
        <v>230915208</v>
      </c>
      <c r="E1307" s="10">
        <v>63.87</v>
      </c>
      <c r="F1307" s="10"/>
      <c r="G1307" s="10">
        <v>41.42</v>
      </c>
      <c r="H1307" s="10"/>
      <c r="I1307" s="10">
        <v>50.4</v>
      </c>
    </row>
    <row r="1308" spans="1:9" ht="21.75" customHeight="1">
      <c r="A1308" s="8" t="s">
        <v>37</v>
      </c>
      <c r="B1308" s="8" t="s">
        <v>40</v>
      </c>
      <c r="C1308" s="9" t="str">
        <f t="shared" si="20"/>
        <v>230098</v>
      </c>
      <c r="D1308" s="9" t="str">
        <f>"230914811"</f>
        <v>230914811</v>
      </c>
      <c r="E1308" s="10">
        <v>62.05</v>
      </c>
      <c r="F1308" s="10"/>
      <c r="G1308" s="10">
        <v>42.47</v>
      </c>
      <c r="H1308" s="10"/>
      <c r="I1308" s="10">
        <v>50.3</v>
      </c>
    </row>
    <row r="1309" spans="1:9" ht="21.75" customHeight="1">
      <c r="A1309" s="8" t="s">
        <v>37</v>
      </c>
      <c r="B1309" s="8" t="s">
        <v>40</v>
      </c>
      <c r="C1309" s="9" t="str">
        <f t="shared" si="20"/>
        <v>230098</v>
      </c>
      <c r="D1309" s="9" t="str">
        <f>"230915817"</f>
        <v>230915817</v>
      </c>
      <c r="E1309" s="10">
        <v>68.040000000000006</v>
      </c>
      <c r="F1309" s="10"/>
      <c r="G1309" s="10">
        <v>38.479999999999997</v>
      </c>
      <c r="H1309" s="10"/>
      <c r="I1309" s="10">
        <v>50.3</v>
      </c>
    </row>
    <row r="1310" spans="1:9" ht="21.75" customHeight="1">
      <c r="A1310" s="8" t="s">
        <v>37</v>
      </c>
      <c r="B1310" s="8" t="s">
        <v>40</v>
      </c>
      <c r="C1310" s="9" t="str">
        <f t="shared" si="20"/>
        <v>230098</v>
      </c>
      <c r="D1310" s="9" t="str">
        <f>"230915202"</f>
        <v>230915202</v>
      </c>
      <c r="E1310" s="10">
        <v>55.5</v>
      </c>
      <c r="F1310" s="10"/>
      <c r="G1310" s="10">
        <v>46.75</v>
      </c>
      <c r="H1310" s="10"/>
      <c r="I1310" s="10">
        <v>50.25</v>
      </c>
    </row>
    <row r="1311" spans="1:9" ht="21.75" customHeight="1">
      <c r="A1311" s="8" t="s">
        <v>37</v>
      </c>
      <c r="B1311" s="8" t="s">
        <v>40</v>
      </c>
      <c r="C1311" s="9" t="str">
        <f t="shared" si="20"/>
        <v>230098</v>
      </c>
      <c r="D1311" s="9" t="str">
        <f>"230915703"</f>
        <v>230915703</v>
      </c>
      <c r="E1311" s="10">
        <v>56.78</v>
      </c>
      <c r="F1311" s="10"/>
      <c r="G1311" s="10">
        <v>45.9</v>
      </c>
      <c r="H1311" s="10"/>
      <c r="I1311" s="10">
        <v>50.25</v>
      </c>
    </row>
    <row r="1312" spans="1:9" ht="21.75" customHeight="1">
      <c r="A1312" s="8" t="s">
        <v>37</v>
      </c>
      <c r="B1312" s="8" t="s">
        <v>40</v>
      </c>
      <c r="C1312" s="9" t="str">
        <f t="shared" si="20"/>
        <v>230098</v>
      </c>
      <c r="D1312" s="9" t="str">
        <f>"230915415"</f>
        <v>230915415</v>
      </c>
      <c r="E1312" s="10">
        <v>55.72</v>
      </c>
      <c r="F1312" s="10"/>
      <c r="G1312" s="10">
        <v>46.39</v>
      </c>
      <c r="H1312" s="10"/>
      <c r="I1312" s="10">
        <v>50.12</v>
      </c>
    </row>
    <row r="1313" spans="1:9" s="1" customFormat="1" ht="21.75" customHeight="1">
      <c r="A1313" s="8" t="s">
        <v>37</v>
      </c>
      <c r="B1313" s="8" t="s">
        <v>40</v>
      </c>
      <c r="C1313" s="9" t="str">
        <f t="shared" si="20"/>
        <v>230098</v>
      </c>
      <c r="D1313" s="9" t="str">
        <f>"230915629"</f>
        <v>230915629</v>
      </c>
      <c r="E1313" s="10">
        <v>54.45</v>
      </c>
      <c r="F1313" s="10"/>
      <c r="G1313" s="10">
        <v>46.19</v>
      </c>
      <c r="H1313" s="10"/>
      <c r="I1313" s="10">
        <v>49.49</v>
      </c>
    </row>
    <row r="1314" spans="1:9" ht="21.75" customHeight="1">
      <c r="A1314" s="8" t="s">
        <v>37</v>
      </c>
      <c r="B1314" s="8" t="s">
        <v>40</v>
      </c>
      <c r="C1314" s="9" t="str">
        <f t="shared" si="20"/>
        <v>230098</v>
      </c>
      <c r="D1314" s="9" t="str">
        <f>"230914730"</f>
        <v>230914730</v>
      </c>
      <c r="E1314" s="10">
        <v>53.88</v>
      </c>
      <c r="F1314" s="10"/>
      <c r="G1314" s="10">
        <v>46.44</v>
      </c>
      <c r="H1314" s="10"/>
      <c r="I1314" s="10">
        <v>49.42</v>
      </c>
    </row>
    <row r="1315" spans="1:9" ht="21.75" customHeight="1">
      <c r="A1315" s="8" t="s">
        <v>37</v>
      </c>
      <c r="B1315" s="8" t="s">
        <v>40</v>
      </c>
      <c r="C1315" s="9" t="str">
        <f t="shared" si="20"/>
        <v>230098</v>
      </c>
      <c r="D1315" s="9" t="str">
        <f>"230915727"</f>
        <v>230915727</v>
      </c>
      <c r="E1315" s="10">
        <v>52.17</v>
      </c>
      <c r="F1315" s="10"/>
      <c r="G1315" s="10">
        <v>46.47</v>
      </c>
      <c r="H1315" s="10"/>
      <c r="I1315" s="10">
        <v>48.75</v>
      </c>
    </row>
    <row r="1316" spans="1:9" ht="21.75" customHeight="1">
      <c r="A1316" s="8" t="s">
        <v>37</v>
      </c>
      <c r="B1316" s="8" t="s">
        <v>40</v>
      </c>
      <c r="C1316" s="9" t="str">
        <f t="shared" si="20"/>
        <v>230098</v>
      </c>
      <c r="D1316" s="9" t="str">
        <f>"230915725"</f>
        <v>230915725</v>
      </c>
      <c r="E1316" s="10">
        <v>74.099999999999994</v>
      </c>
      <c r="F1316" s="10"/>
      <c r="G1316" s="10">
        <v>31.81</v>
      </c>
      <c r="H1316" s="10"/>
      <c r="I1316" s="10">
        <v>48.73</v>
      </c>
    </row>
    <row r="1317" spans="1:9" ht="21.75" customHeight="1">
      <c r="A1317" s="8" t="s">
        <v>37</v>
      </c>
      <c r="B1317" s="8" t="s">
        <v>40</v>
      </c>
      <c r="C1317" s="9" t="str">
        <f t="shared" si="20"/>
        <v>230098</v>
      </c>
      <c r="D1317" s="9" t="str">
        <f>"230914720"</f>
        <v>230914720</v>
      </c>
      <c r="E1317" s="10">
        <v>60.16</v>
      </c>
      <c r="F1317" s="10"/>
      <c r="G1317" s="10">
        <v>40.15</v>
      </c>
      <c r="H1317" s="10"/>
      <c r="I1317" s="10">
        <v>48.15</v>
      </c>
    </row>
    <row r="1318" spans="1:9" s="1" customFormat="1" ht="21.75" customHeight="1">
      <c r="A1318" s="8" t="s">
        <v>37</v>
      </c>
      <c r="B1318" s="8" t="s">
        <v>40</v>
      </c>
      <c r="C1318" s="9" t="str">
        <f t="shared" si="20"/>
        <v>230098</v>
      </c>
      <c r="D1318" s="9" t="str">
        <f>"230914623"</f>
        <v>230914623</v>
      </c>
      <c r="E1318" s="10">
        <v>60.42</v>
      </c>
      <c r="F1318" s="10"/>
      <c r="G1318" s="10">
        <v>39.47</v>
      </c>
      <c r="H1318" s="10"/>
      <c r="I1318" s="10">
        <v>47.85</v>
      </c>
    </row>
    <row r="1319" spans="1:9" s="1" customFormat="1" ht="21.75" customHeight="1">
      <c r="A1319" s="8" t="s">
        <v>37</v>
      </c>
      <c r="B1319" s="8" t="s">
        <v>40</v>
      </c>
      <c r="C1319" s="9" t="str">
        <f t="shared" si="20"/>
        <v>230098</v>
      </c>
      <c r="D1319" s="9" t="str">
        <f>"230916008"</f>
        <v>230916008</v>
      </c>
      <c r="E1319" s="10">
        <v>56.66</v>
      </c>
      <c r="F1319" s="10"/>
      <c r="G1319" s="10">
        <v>41.81</v>
      </c>
      <c r="H1319" s="10"/>
      <c r="I1319" s="10">
        <v>47.75</v>
      </c>
    </row>
    <row r="1320" spans="1:9" ht="21.75" customHeight="1">
      <c r="A1320" s="8" t="s">
        <v>37</v>
      </c>
      <c r="B1320" s="8" t="s">
        <v>40</v>
      </c>
      <c r="C1320" s="9" t="str">
        <f t="shared" si="20"/>
        <v>230098</v>
      </c>
      <c r="D1320" s="9" t="str">
        <f>"230915908"</f>
        <v>230915908</v>
      </c>
      <c r="E1320" s="10">
        <v>60.77</v>
      </c>
      <c r="F1320" s="10"/>
      <c r="G1320" s="10">
        <v>38.5</v>
      </c>
      <c r="H1320" s="10"/>
      <c r="I1320" s="10">
        <v>47.41</v>
      </c>
    </row>
    <row r="1321" spans="1:9" ht="21.75" customHeight="1">
      <c r="A1321" s="8" t="s">
        <v>37</v>
      </c>
      <c r="B1321" s="8" t="s">
        <v>40</v>
      </c>
      <c r="C1321" s="9" t="str">
        <f t="shared" si="20"/>
        <v>230098</v>
      </c>
      <c r="D1321" s="9" t="str">
        <f>"230914913"</f>
        <v>230914913</v>
      </c>
      <c r="E1321" s="10">
        <v>52.86</v>
      </c>
      <c r="F1321" s="10"/>
      <c r="G1321" s="10">
        <v>42.54</v>
      </c>
      <c r="H1321" s="10"/>
      <c r="I1321" s="10">
        <v>46.67</v>
      </c>
    </row>
    <row r="1322" spans="1:9" ht="21.75" customHeight="1">
      <c r="A1322" s="8" t="s">
        <v>37</v>
      </c>
      <c r="B1322" s="8" t="s">
        <v>40</v>
      </c>
      <c r="C1322" s="9" t="str">
        <f t="shared" si="20"/>
        <v>230098</v>
      </c>
      <c r="D1322" s="9" t="str">
        <f>"230916107"</f>
        <v>230916107</v>
      </c>
      <c r="E1322" s="10">
        <v>58.03</v>
      </c>
      <c r="F1322" s="10"/>
      <c r="G1322" s="10">
        <v>38.56</v>
      </c>
      <c r="H1322" s="10"/>
      <c r="I1322" s="10">
        <v>46.35</v>
      </c>
    </row>
    <row r="1323" spans="1:9" s="1" customFormat="1" ht="21.75" customHeight="1">
      <c r="A1323" s="8" t="s">
        <v>37</v>
      </c>
      <c r="B1323" s="8" t="s">
        <v>40</v>
      </c>
      <c r="C1323" s="9" t="str">
        <f t="shared" si="20"/>
        <v>230098</v>
      </c>
      <c r="D1323" s="9" t="str">
        <f>"230915127"</f>
        <v>230915127</v>
      </c>
      <c r="E1323" s="10">
        <v>63.18</v>
      </c>
      <c r="F1323" s="10"/>
      <c r="G1323" s="10">
        <v>34.68</v>
      </c>
      <c r="H1323" s="10"/>
      <c r="I1323" s="10">
        <v>46.08</v>
      </c>
    </row>
    <row r="1324" spans="1:9" s="1" customFormat="1" ht="21.75" customHeight="1">
      <c r="A1324" s="8" t="s">
        <v>37</v>
      </c>
      <c r="B1324" s="8" t="s">
        <v>40</v>
      </c>
      <c r="C1324" s="9" t="str">
        <f t="shared" si="20"/>
        <v>230098</v>
      </c>
      <c r="D1324" s="9" t="str">
        <f>"230915103"</f>
        <v>230915103</v>
      </c>
      <c r="E1324" s="10">
        <v>67.67</v>
      </c>
      <c r="F1324" s="10"/>
      <c r="G1324" s="10">
        <v>31.49</v>
      </c>
      <c r="H1324" s="10"/>
      <c r="I1324" s="10">
        <v>45.96</v>
      </c>
    </row>
    <row r="1325" spans="1:9" ht="21.75" customHeight="1">
      <c r="A1325" s="8" t="s">
        <v>37</v>
      </c>
      <c r="B1325" s="8" t="s">
        <v>40</v>
      </c>
      <c r="C1325" s="9" t="str">
        <f t="shared" si="20"/>
        <v>230098</v>
      </c>
      <c r="D1325" s="9" t="str">
        <f>"230914704"</f>
        <v>230914704</v>
      </c>
      <c r="E1325" s="10">
        <v>58.34</v>
      </c>
      <c r="F1325" s="10"/>
      <c r="G1325" s="10">
        <v>36.99</v>
      </c>
      <c r="H1325" s="10"/>
      <c r="I1325" s="10">
        <v>45.53</v>
      </c>
    </row>
    <row r="1326" spans="1:9" ht="21.75" customHeight="1">
      <c r="A1326" s="8" t="s">
        <v>37</v>
      </c>
      <c r="B1326" s="8" t="s">
        <v>40</v>
      </c>
      <c r="C1326" s="9" t="str">
        <f t="shared" ref="C1326:C1389" si="21">"230098"</f>
        <v>230098</v>
      </c>
      <c r="D1326" s="9" t="str">
        <f>"230914729"</f>
        <v>230914729</v>
      </c>
      <c r="E1326" s="10">
        <v>52.72</v>
      </c>
      <c r="F1326" s="10"/>
      <c r="G1326" s="10">
        <v>39.39</v>
      </c>
      <c r="H1326" s="10"/>
      <c r="I1326" s="10">
        <v>44.72</v>
      </c>
    </row>
    <row r="1327" spans="1:9" s="1" customFormat="1" ht="21.75" customHeight="1">
      <c r="A1327" s="8" t="s">
        <v>37</v>
      </c>
      <c r="B1327" s="8" t="s">
        <v>40</v>
      </c>
      <c r="C1327" s="9" t="str">
        <f t="shared" si="21"/>
        <v>230098</v>
      </c>
      <c r="D1327" s="9" t="str">
        <f>"230915927"</f>
        <v>230915927</v>
      </c>
      <c r="E1327" s="10">
        <v>56.07</v>
      </c>
      <c r="F1327" s="10"/>
      <c r="G1327" s="10">
        <v>34.61</v>
      </c>
      <c r="H1327" s="10"/>
      <c r="I1327" s="10">
        <v>43.19</v>
      </c>
    </row>
    <row r="1328" spans="1:9" ht="21.75" customHeight="1">
      <c r="A1328" s="8" t="s">
        <v>37</v>
      </c>
      <c r="B1328" s="8" t="s">
        <v>40</v>
      </c>
      <c r="C1328" s="9" t="str">
        <f t="shared" si="21"/>
        <v>230098</v>
      </c>
      <c r="D1328" s="9" t="str">
        <f>"230914918"</f>
        <v>230914918</v>
      </c>
      <c r="E1328" s="10">
        <v>44.66</v>
      </c>
      <c r="F1328" s="10"/>
      <c r="G1328" s="10">
        <v>40.11</v>
      </c>
      <c r="H1328" s="10"/>
      <c r="I1328" s="10">
        <v>41.93</v>
      </c>
    </row>
    <row r="1329" spans="1:9" ht="21.75" customHeight="1">
      <c r="A1329" s="8" t="s">
        <v>37</v>
      </c>
      <c r="B1329" s="8" t="s">
        <v>40</v>
      </c>
      <c r="C1329" s="9" t="str">
        <f t="shared" si="21"/>
        <v>230098</v>
      </c>
      <c r="D1329" s="9" t="str">
        <f>"230915707"</f>
        <v>230915707</v>
      </c>
      <c r="E1329" s="10">
        <v>42.51</v>
      </c>
      <c r="F1329" s="10"/>
      <c r="G1329" s="10">
        <v>36.24</v>
      </c>
      <c r="H1329" s="10"/>
      <c r="I1329" s="10">
        <v>38.75</v>
      </c>
    </row>
    <row r="1330" spans="1:9" ht="21.75" customHeight="1">
      <c r="A1330" s="8" t="s">
        <v>37</v>
      </c>
      <c r="B1330" s="8" t="s">
        <v>40</v>
      </c>
      <c r="C1330" s="9" t="str">
        <f t="shared" si="21"/>
        <v>230098</v>
      </c>
      <c r="D1330" s="9" t="str">
        <f>"230914709"</f>
        <v>230914709</v>
      </c>
      <c r="E1330" s="10">
        <v>19.32</v>
      </c>
      <c r="F1330" s="10"/>
      <c r="G1330" s="10">
        <v>50.97</v>
      </c>
      <c r="H1330" s="10"/>
      <c r="I1330" s="10">
        <v>38.31</v>
      </c>
    </row>
    <row r="1331" spans="1:9" ht="21.75" customHeight="1">
      <c r="A1331" s="8" t="s">
        <v>37</v>
      </c>
      <c r="B1331" s="8" t="s">
        <v>40</v>
      </c>
      <c r="C1331" s="9" t="str">
        <f t="shared" si="21"/>
        <v>230098</v>
      </c>
      <c r="D1331" s="9" t="str">
        <f>"230915803"</f>
        <v>230915803</v>
      </c>
      <c r="E1331" s="10">
        <v>39.26</v>
      </c>
      <c r="F1331" s="10"/>
      <c r="G1331" s="10">
        <v>37.25</v>
      </c>
      <c r="H1331" s="10"/>
      <c r="I1331" s="10">
        <v>38.049999999999997</v>
      </c>
    </row>
    <row r="1332" spans="1:9" ht="21.75" customHeight="1">
      <c r="A1332" s="8" t="s">
        <v>37</v>
      </c>
      <c r="B1332" s="8" t="s">
        <v>40</v>
      </c>
      <c r="C1332" s="9" t="str">
        <f t="shared" si="21"/>
        <v>230098</v>
      </c>
      <c r="D1332" s="9" t="str">
        <f>"230915311"</f>
        <v>230915311</v>
      </c>
      <c r="E1332" s="10">
        <v>64.44</v>
      </c>
      <c r="F1332" s="10"/>
      <c r="G1332" s="10">
        <v>15.28</v>
      </c>
      <c r="H1332" s="10"/>
      <c r="I1332" s="10">
        <v>34.94</v>
      </c>
    </row>
    <row r="1333" spans="1:9" s="1" customFormat="1" ht="21.75" customHeight="1">
      <c r="A1333" s="8" t="s">
        <v>37</v>
      </c>
      <c r="B1333" s="8" t="s">
        <v>40</v>
      </c>
      <c r="C1333" s="9" t="str">
        <f t="shared" si="21"/>
        <v>230098</v>
      </c>
      <c r="D1333" s="9" t="str">
        <f>"230914911"</f>
        <v>230914911</v>
      </c>
      <c r="E1333" s="10">
        <v>20.239999999999998</v>
      </c>
      <c r="F1333" s="10"/>
      <c r="G1333" s="10">
        <v>39.090000000000003</v>
      </c>
      <c r="H1333" s="10"/>
      <c r="I1333" s="10">
        <v>31.55</v>
      </c>
    </row>
    <row r="1334" spans="1:9" ht="21.75" customHeight="1">
      <c r="A1334" s="8" t="s">
        <v>37</v>
      </c>
      <c r="B1334" s="8" t="s">
        <v>40</v>
      </c>
      <c r="C1334" s="9" t="str">
        <f t="shared" si="21"/>
        <v>230098</v>
      </c>
      <c r="D1334" s="9" t="str">
        <f>"230914807"</f>
        <v>230914807</v>
      </c>
      <c r="E1334" s="10">
        <v>5.52</v>
      </c>
      <c r="F1334" s="10"/>
      <c r="G1334" s="10">
        <v>42.36</v>
      </c>
      <c r="H1334" s="10"/>
      <c r="I1334" s="10">
        <v>27.62</v>
      </c>
    </row>
    <row r="1335" spans="1:9" s="1" customFormat="1" ht="21.75" customHeight="1">
      <c r="A1335" s="8" t="s">
        <v>37</v>
      </c>
      <c r="B1335" s="8" t="s">
        <v>40</v>
      </c>
      <c r="C1335" s="9" t="str">
        <f t="shared" si="21"/>
        <v>230098</v>
      </c>
      <c r="D1335" s="9" t="str">
        <f>"230914614"</f>
        <v>230914614</v>
      </c>
      <c r="E1335" s="10">
        <v>0</v>
      </c>
      <c r="F1335" s="10"/>
      <c r="G1335" s="10">
        <v>0</v>
      </c>
      <c r="H1335" s="10"/>
      <c r="I1335" s="10">
        <v>0</v>
      </c>
    </row>
    <row r="1336" spans="1:9" ht="21.75" customHeight="1">
      <c r="A1336" s="8" t="s">
        <v>37</v>
      </c>
      <c r="B1336" s="8" t="s">
        <v>40</v>
      </c>
      <c r="C1336" s="9" t="str">
        <f t="shared" si="21"/>
        <v>230098</v>
      </c>
      <c r="D1336" s="9" t="str">
        <f>"230914619"</f>
        <v>230914619</v>
      </c>
      <c r="E1336" s="10">
        <v>0</v>
      </c>
      <c r="F1336" s="10"/>
      <c r="G1336" s="10">
        <v>0</v>
      </c>
      <c r="H1336" s="10"/>
      <c r="I1336" s="10">
        <v>0</v>
      </c>
    </row>
    <row r="1337" spans="1:9" ht="21.75" customHeight="1">
      <c r="A1337" s="8" t="s">
        <v>37</v>
      </c>
      <c r="B1337" s="8" t="s">
        <v>40</v>
      </c>
      <c r="C1337" s="9" t="str">
        <f t="shared" si="21"/>
        <v>230098</v>
      </c>
      <c r="D1337" s="9" t="str">
        <f>"230914620"</f>
        <v>230914620</v>
      </c>
      <c r="E1337" s="10">
        <v>0</v>
      </c>
      <c r="F1337" s="10"/>
      <c r="G1337" s="10">
        <v>0</v>
      </c>
      <c r="H1337" s="10"/>
      <c r="I1337" s="10">
        <v>0</v>
      </c>
    </row>
    <row r="1338" spans="1:9" ht="21.75" customHeight="1">
      <c r="A1338" s="8" t="s">
        <v>37</v>
      </c>
      <c r="B1338" s="8" t="s">
        <v>40</v>
      </c>
      <c r="C1338" s="9" t="str">
        <f t="shared" si="21"/>
        <v>230098</v>
      </c>
      <c r="D1338" s="9" t="str">
        <f>"230914621"</f>
        <v>230914621</v>
      </c>
      <c r="E1338" s="10">
        <v>0</v>
      </c>
      <c r="F1338" s="10"/>
      <c r="G1338" s="10">
        <v>0</v>
      </c>
      <c r="H1338" s="10"/>
      <c r="I1338" s="10">
        <v>0</v>
      </c>
    </row>
    <row r="1339" spans="1:9" ht="21.75" customHeight="1">
      <c r="A1339" s="8" t="s">
        <v>37</v>
      </c>
      <c r="B1339" s="8" t="s">
        <v>40</v>
      </c>
      <c r="C1339" s="9" t="str">
        <f t="shared" si="21"/>
        <v>230098</v>
      </c>
      <c r="D1339" s="9" t="str">
        <f>"230914625"</f>
        <v>230914625</v>
      </c>
      <c r="E1339" s="10">
        <v>0</v>
      </c>
      <c r="F1339" s="10"/>
      <c r="G1339" s="10">
        <v>0</v>
      </c>
      <c r="H1339" s="10"/>
      <c r="I1339" s="10">
        <v>0</v>
      </c>
    </row>
    <row r="1340" spans="1:9" ht="21.75" customHeight="1">
      <c r="A1340" s="8" t="s">
        <v>37</v>
      </c>
      <c r="B1340" s="8" t="s">
        <v>40</v>
      </c>
      <c r="C1340" s="9" t="str">
        <f t="shared" si="21"/>
        <v>230098</v>
      </c>
      <c r="D1340" s="9" t="str">
        <f>"230914626"</f>
        <v>230914626</v>
      </c>
      <c r="E1340" s="10">
        <v>0</v>
      </c>
      <c r="F1340" s="10"/>
      <c r="G1340" s="10">
        <v>0</v>
      </c>
      <c r="H1340" s="10"/>
      <c r="I1340" s="10">
        <v>0</v>
      </c>
    </row>
    <row r="1341" spans="1:9" ht="21.75" customHeight="1">
      <c r="A1341" s="8" t="s">
        <v>37</v>
      </c>
      <c r="B1341" s="8" t="s">
        <v>40</v>
      </c>
      <c r="C1341" s="9" t="str">
        <f t="shared" si="21"/>
        <v>230098</v>
      </c>
      <c r="D1341" s="9" t="str">
        <f>"230914701"</f>
        <v>230914701</v>
      </c>
      <c r="E1341" s="10">
        <v>0</v>
      </c>
      <c r="F1341" s="10"/>
      <c r="G1341" s="10">
        <v>0</v>
      </c>
      <c r="H1341" s="10"/>
      <c r="I1341" s="10">
        <v>0</v>
      </c>
    </row>
    <row r="1342" spans="1:9" ht="21.75" customHeight="1">
      <c r="A1342" s="8" t="s">
        <v>37</v>
      </c>
      <c r="B1342" s="8" t="s">
        <v>40</v>
      </c>
      <c r="C1342" s="9" t="str">
        <f t="shared" si="21"/>
        <v>230098</v>
      </c>
      <c r="D1342" s="9" t="str">
        <f>"230914708"</f>
        <v>230914708</v>
      </c>
      <c r="E1342" s="10">
        <v>0</v>
      </c>
      <c r="F1342" s="10"/>
      <c r="G1342" s="10">
        <v>0</v>
      </c>
      <c r="H1342" s="10"/>
      <c r="I1342" s="10">
        <v>0</v>
      </c>
    </row>
    <row r="1343" spans="1:9" ht="21.75" customHeight="1">
      <c r="A1343" s="8" t="s">
        <v>37</v>
      </c>
      <c r="B1343" s="8" t="s">
        <v>40</v>
      </c>
      <c r="C1343" s="9" t="str">
        <f t="shared" si="21"/>
        <v>230098</v>
      </c>
      <c r="D1343" s="9" t="str">
        <f>"230914711"</f>
        <v>230914711</v>
      </c>
      <c r="E1343" s="10">
        <v>0</v>
      </c>
      <c r="F1343" s="10"/>
      <c r="G1343" s="10">
        <v>0</v>
      </c>
      <c r="H1343" s="10"/>
      <c r="I1343" s="10">
        <v>0</v>
      </c>
    </row>
    <row r="1344" spans="1:9" ht="21.75" customHeight="1">
      <c r="A1344" s="8" t="s">
        <v>37</v>
      </c>
      <c r="B1344" s="8" t="s">
        <v>40</v>
      </c>
      <c r="C1344" s="9" t="str">
        <f t="shared" si="21"/>
        <v>230098</v>
      </c>
      <c r="D1344" s="9" t="str">
        <f>"230914712"</f>
        <v>230914712</v>
      </c>
      <c r="E1344" s="10">
        <v>0</v>
      </c>
      <c r="F1344" s="10"/>
      <c r="G1344" s="10">
        <v>0</v>
      </c>
      <c r="H1344" s="10"/>
      <c r="I1344" s="10">
        <v>0</v>
      </c>
    </row>
    <row r="1345" spans="1:9" ht="21.75" customHeight="1">
      <c r="A1345" s="8" t="s">
        <v>37</v>
      </c>
      <c r="B1345" s="8" t="s">
        <v>40</v>
      </c>
      <c r="C1345" s="9" t="str">
        <f t="shared" si="21"/>
        <v>230098</v>
      </c>
      <c r="D1345" s="9" t="str">
        <f>"230914717"</f>
        <v>230914717</v>
      </c>
      <c r="E1345" s="10">
        <v>0</v>
      </c>
      <c r="F1345" s="10"/>
      <c r="G1345" s="10">
        <v>0</v>
      </c>
      <c r="H1345" s="10"/>
      <c r="I1345" s="10">
        <v>0</v>
      </c>
    </row>
    <row r="1346" spans="1:9" s="1" customFormat="1" ht="21.75" customHeight="1">
      <c r="A1346" s="8" t="s">
        <v>37</v>
      </c>
      <c r="B1346" s="8" t="s">
        <v>40</v>
      </c>
      <c r="C1346" s="9" t="str">
        <f t="shared" si="21"/>
        <v>230098</v>
      </c>
      <c r="D1346" s="9" t="str">
        <f>"230914718"</f>
        <v>230914718</v>
      </c>
      <c r="E1346" s="10">
        <v>0</v>
      </c>
      <c r="F1346" s="10"/>
      <c r="G1346" s="10">
        <v>0</v>
      </c>
      <c r="H1346" s="10"/>
      <c r="I1346" s="10">
        <v>0</v>
      </c>
    </row>
    <row r="1347" spans="1:9" ht="21.75" customHeight="1">
      <c r="A1347" s="8" t="s">
        <v>37</v>
      </c>
      <c r="B1347" s="8" t="s">
        <v>40</v>
      </c>
      <c r="C1347" s="9" t="str">
        <f t="shared" si="21"/>
        <v>230098</v>
      </c>
      <c r="D1347" s="9" t="str">
        <f>"230914721"</f>
        <v>230914721</v>
      </c>
      <c r="E1347" s="10">
        <v>0</v>
      </c>
      <c r="F1347" s="10"/>
      <c r="G1347" s="10">
        <v>0</v>
      </c>
      <c r="H1347" s="10"/>
      <c r="I1347" s="10">
        <v>0</v>
      </c>
    </row>
    <row r="1348" spans="1:9" ht="21.75" customHeight="1">
      <c r="A1348" s="8" t="s">
        <v>37</v>
      </c>
      <c r="B1348" s="8" t="s">
        <v>40</v>
      </c>
      <c r="C1348" s="9" t="str">
        <f t="shared" si="21"/>
        <v>230098</v>
      </c>
      <c r="D1348" s="9" t="str">
        <f>"230914725"</f>
        <v>230914725</v>
      </c>
      <c r="E1348" s="10">
        <v>0</v>
      </c>
      <c r="F1348" s="10"/>
      <c r="G1348" s="10">
        <v>0</v>
      </c>
      <c r="H1348" s="10"/>
      <c r="I1348" s="10">
        <v>0</v>
      </c>
    </row>
    <row r="1349" spans="1:9" ht="21.75" customHeight="1">
      <c r="A1349" s="8" t="s">
        <v>37</v>
      </c>
      <c r="B1349" s="8" t="s">
        <v>40</v>
      </c>
      <c r="C1349" s="9" t="str">
        <f t="shared" si="21"/>
        <v>230098</v>
      </c>
      <c r="D1349" s="9" t="str">
        <f>"230914727"</f>
        <v>230914727</v>
      </c>
      <c r="E1349" s="10">
        <v>0</v>
      </c>
      <c r="F1349" s="10"/>
      <c r="G1349" s="10">
        <v>0</v>
      </c>
      <c r="H1349" s="10"/>
      <c r="I1349" s="10">
        <v>0</v>
      </c>
    </row>
    <row r="1350" spans="1:9" s="1" customFormat="1" ht="21.75" customHeight="1">
      <c r="A1350" s="8" t="s">
        <v>37</v>
      </c>
      <c r="B1350" s="8" t="s">
        <v>40</v>
      </c>
      <c r="C1350" s="9" t="str">
        <f t="shared" si="21"/>
        <v>230098</v>
      </c>
      <c r="D1350" s="9" t="str">
        <f>"230914801"</f>
        <v>230914801</v>
      </c>
      <c r="E1350" s="10">
        <v>0</v>
      </c>
      <c r="F1350" s="10"/>
      <c r="G1350" s="10">
        <v>0</v>
      </c>
      <c r="H1350" s="10"/>
      <c r="I1350" s="10">
        <v>0</v>
      </c>
    </row>
    <row r="1351" spans="1:9" ht="21.75" customHeight="1">
      <c r="A1351" s="8" t="s">
        <v>37</v>
      </c>
      <c r="B1351" s="8" t="s">
        <v>40</v>
      </c>
      <c r="C1351" s="9" t="str">
        <f t="shared" si="21"/>
        <v>230098</v>
      </c>
      <c r="D1351" s="9" t="str">
        <f>"230914802"</f>
        <v>230914802</v>
      </c>
      <c r="E1351" s="10">
        <v>0</v>
      </c>
      <c r="F1351" s="10"/>
      <c r="G1351" s="10">
        <v>0</v>
      </c>
      <c r="H1351" s="10"/>
      <c r="I1351" s="10">
        <v>0</v>
      </c>
    </row>
    <row r="1352" spans="1:9" s="1" customFormat="1" ht="21.75" customHeight="1">
      <c r="A1352" s="8" t="s">
        <v>37</v>
      </c>
      <c r="B1352" s="8" t="s">
        <v>40</v>
      </c>
      <c r="C1352" s="9" t="str">
        <f t="shared" si="21"/>
        <v>230098</v>
      </c>
      <c r="D1352" s="9" t="str">
        <f>"230914817"</f>
        <v>230914817</v>
      </c>
      <c r="E1352" s="10">
        <v>0</v>
      </c>
      <c r="F1352" s="10"/>
      <c r="G1352" s="10">
        <v>0</v>
      </c>
      <c r="H1352" s="10"/>
      <c r="I1352" s="10">
        <v>0</v>
      </c>
    </row>
    <row r="1353" spans="1:9" s="1" customFormat="1" ht="21.75" customHeight="1">
      <c r="A1353" s="8" t="s">
        <v>37</v>
      </c>
      <c r="B1353" s="8" t="s">
        <v>40</v>
      </c>
      <c r="C1353" s="9" t="str">
        <f t="shared" si="21"/>
        <v>230098</v>
      </c>
      <c r="D1353" s="9" t="str">
        <f>"230914818"</f>
        <v>230914818</v>
      </c>
      <c r="E1353" s="10">
        <v>0</v>
      </c>
      <c r="F1353" s="10"/>
      <c r="G1353" s="10">
        <v>0</v>
      </c>
      <c r="H1353" s="10"/>
      <c r="I1353" s="10">
        <v>0</v>
      </c>
    </row>
    <row r="1354" spans="1:9" ht="21.75" customHeight="1">
      <c r="A1354" s="8" t="s">
        <v>37</v>
      </c>
      <c r="B1354" s="8" t="s">
        <v>40</v>
      </c>
      <c r="C1354" s="9" t="str">
        <f t="shared" si="21"/>
        <v>230098</v>
      </c>
      <c r="D1354" s="9" t="str">
        <f>"230914820"</f>
        <v>230914820</v>
      </c>
      <c r="E1354" s="10">
        <v>0</v>
      </c>
      <c r="F1354" s="10"/>
      <c r="G1354" s="10">
        <v>0</v>
      </c>
      <c r="H1354" s="10"/>
      <c r="I1354" s="10">
        <v>0</v>
      </c>
    </row>
    <row r="1355" spans="1:9" ht="21.75" customHeight="1">
      <c r="A1355" s="8" t="s">
        <v>37</v>
      </c>
      <c r="B1355" s="8" t="s">
        <v>40</v>
      </c>
      <c r="C1355" s="9" t="str">
        <f t="shared" si="21"/>
        <v>230098</v>
      </c>
      <c r="D1355" s="9" t="str">
        <f>"230914821"</f>
        <v>230914821</v>
      </c>
      <c r="E1355" s="10">
        <v>0</v>
      </c>
      <c r="F1355" s="10"/>
      <c r="G1355" s="10">
        <v>0</v>
      </c>
      <c r="H1355" s="10"/>
      <c r="I1355" s="10">
        <v>0</v>
      </c>
    </row>
    <row r="1356" spans="1:9" s="1" customFormat="1" ht="21.75" customHeight="1">
      <c r="A1356" s="8" t="s">
        <v>37</v>
      </c>
      <c r="B1356" s="8" t="s">
        <v>40</v>
      </c>
      <c r="C1356" s="9" t="str">
        <f t="shared" si="21"/>
        <v>230098</v>
      </c>
      <c r="D1356" s="9" t="str">
        <f>"230914823"</f>
        <v>230914823</v>
      </c>
      <c r="E1356" s="10">
        <v>0</v>
      </c>
      <c r="F1356" s="10"/>
      <c r="G1356" s="10">
        <v>0</v>
      </c>
      <c r="H1356" s="10"/>
      <c r="I1356" s="10">
        <v>0</v>
      </c>
    </row>
    <row r="1357" spans="1:9" s="1" customFormat="1" ht="21.75" customHeight="1">
      <c r="A1357" s="8" t="s">
        <v>37</v>
      </c>
      <c r="B1357" s="8" t="s">
        <v>40</v>
      </c>
      <c r="C1357" s="9" t="str">
        <f t="shared" si="21"/>
        <v>230098</v>
      </c>
      <c r="D1357" s="9" t="str">
        <f>"230914828"</f>
        <v>230914828</v>
      </c>
      <c r="E1357" s="10">
        <v>0</v>
      </c>
      <c r="F1357" s="10"/>
      <c r="G1357" s="10">
        <v>0</v>
      </c>
      <c r="H1357" s="10"/>
      <c r="I1357" s="10">
        <v>0</v>
      </c>
    </row>
    <row r="1358" spans="1:9" s="1" customFormat="1" ht="21.75" customHeight="1">
      <c r="A1358" s="8" t="s">
        <v>37</v>
      </c>
      <c r="B1358" s="8" t="s">
        <v>40</v>
      </c>
      <c r="C1358" s="9" t="str">
        <f t="shared" si="21"/>
        <v>230098</v>
      </c>
      <c r="D1358" s="9" t="str">
        <f>"230914901"</f>
        <v>230914901</v>
      </c>
      <c r="E1358" s="10">
        <v>0</v>
      </c>
      <c r="F1358" s="10"/>
      <c r="G1358" s="10">
        <v>0</v>
      </c>
      <c r="H1358" s="10"/>
      <c r="I1358" s="10">
        <v>0</v>
      </c>
    </row>
    <row r="1359" spans="1:9" s="1" customFormat="1" ht="21.75" customHeight="1">
      <c r="A1359" s="8" t="s">
        <v>37</v>
      </c>
      <c r="B1359" s="8" t="s">
        <v>40</v>
      </c>
      <c r="C1359" s="9" t="str">
        <f t="shared" si="21"/>
        <v>230098</v>
      </c>
      <c r="D1359" s="9" t="str">
        <f>"230914908"</f>
        <v>230914908</v>
      </c>
      <c r="E1359" s="10">
        <v>0</v>
      </c>
      <c r="F1359" s="10"/>
      <c r="G1359" s="10">
        <v>0</v>
      </c>
      <c r="H1359" s="10"/>
      <c r="I1359" s="10">
        <v>0</v>
      </c>
    </row>
    <row r="1360" spans="1:9" s="1" customFormat="1" ht="21.75" customHeight="1">
      <c r="A1360" s="8" t="s">
        <v>37</v>
      </c>
      <c r="B1360" s="8" t="s">
        <v>40</v>
      </c>
      <c r="C1360" s="9" t="str">
        <f t="shared" si="21"/>
        <v>230098</v>
      </c>
      <c r="D1360" s="9" t="str">
        <f>"230914912"</f>
        <v>230914912</v>
      </c>
      <c r="E1360" s="10">
        <v>0</v>
      </c>
      <c r="F1360" s="10"/>
      <c r="G1360" s="10">
        <v>0</v>
      </c>
      <c r="H1360" s="10"/>
      <c r="I1360" s="10">
        <v>0</v>
      </c>
    </row>
    <row r="1361" spans="1:9" s="1" customFormat="1" ht="21.75" customHeight="1">
      <c r="A1361" s="8" t="s">
        <v>37</v>
      </c>
      <c r="B1361" s="8" t="s">
        <v>40</v>
      </c>
      <c r="C1361" s="9" t="str">
        <f t="shared" si="21"/>
        <v>230098</v>
      </c>
      <c r="D1361" s="9" t="str">
        <f>"230914915"</f>
        <v>230914915</v>
      </c>
      <c r="E1361" s="10">
        <v>0</v>
      </c>
      <c r="F1361" s="10"/>
      <c r="G1361" s="10">
        <v>0</v>
      </c>
      <c r="H1361" s="10"/>
      <c r="I1361" s="10">
        <v>0</v>
      </c>
    </row>
    <row r="1362" spans="1:9" s="1" customFormat="1" ht="21.75" customHeight="1">
      <c r="A1362" s="8" t="s">
        <v>37</v>
      </c>
      <c r="B1362" s="8" t="s">
        <v>40</v>
      </c>
      <c r="C1362" s="9" t="str">
        <f t="shared" si="21"/>
        <v>230098</v>
      </c>
      <c r="D1362" s="9" t="str">
        <f>"230914920"</f>
        <v>230914920</v>
      </c>
      <c r="E1362" s="10">
        <v>0</v>
      </c>
      <c r="F1362" s="10"/>
      <c r="G1362" s="10">
        <v>0</v>
      </c>
      <c r="H1362" s="10"/>
      <c r="I1362" s="10">
        <v>0</v>
      </c>
    </row>
    <row r="1363" spans="1:9" ht="21.75" customHeight="1">
      <c r="A1363" s="8" t="s">
        <v>37</v>
      </c>
      <c r="B1363" s="8" t="s">
        <v>40</v>
      </c>
      <c r="C1363" s="9" t="str">
        <f t="shared" si="21"/>
        <v>230098</v>
      </c>
      <c r="D1363" s="9" t="str">
        <f>"230914921"</f>
        <v>230914921</v>
      </c>
      <c r="E1363" s="10">
        <v>0</v>
      </c>
      <c r="F1363" s="10"/>
      <c r="G1363" s="10">
        <v>0</v>
      </c>
      <c r="H1363" s="10"/>
      <c r="I1363" s="10">
        <v>0</v>
      </c>
    </row>
    <row r="1364" spans="1:9" s="1" customFormat="1" ht="21.75" customHeight="1">
      <c r="A1364" s="8" t="s">
        <v>37</v>
      </c>
      <c r="B1364" s="8" t="s">
        <v>40</v>
      </c>
      <c r="C1364" s="9" t="str">
        <f t="shared" si="21"/>
        <v>230098</v>
      </c>
      <c r="D1364" s="9" t="str">
        <f>"230914926"</f>
        <v>230914926</v>
      </c>
      <c r="E1364" s="10">
        <v>0</v>
      </c>
      <c r="F1364" s="10"/>
      <c r="G1364" s="10">
        <v>0</v>
      </c>
      <c r="H1364" s="10"/>
      <c r="I1364" s="10">
        <v>0</v>
      </c>
    </row>
    <row r="1365" spans="1:9" ht="21.75" customHeight="1">
      <c r="A1365" s="8" t="s">
        <v>37</v>
      </c>
      <c r="B1365" s="8" t="s">
        <v>40</v>
      </c>
      <c r="C1365" s="9" t="str">
        <f t="shared" si="21"/>
        <v>230098</v>
      </c>
      <c r="D1365" s="9" t="str">
        <f>"230914930"</f>
        <v>230914930</v>
      </c>
      <c r="E1365" s="10">
        <v>0</v>
      </c>
      <c r="F1365" s="10"/>
      <c r="G1365" s="10">
        <v>0</v>
      </c>
      <c r="H1365" s="10"/>
      <c r="I1365" s="10">
        <v>0</v>
      </c>
    </row>
    <row r="1366" spans="1:9" s="1" customFormat="1" ht="21.75" customHeight="1">
      <c r="A1366" s="8" t="s">
        <v>37</v>
      </c>
      <c r="B1366" s="8" t="s">
        <v>40</v>
      </c>
      <c r="C1366" s="9" t="str">
        <f t="shared" si="21"/>
        <v>230098</v>
      </c>
      <c r="D1366" s="9" t="str">
        <f>"230915005"</f>
        <v>230915005</v>
      </c>
      <c r="E1366" s="10">
        <v>0</v>
      </c>
      <c r="F1366" s="10"/>
      <c r="G1366" s="10">
        <v>0</v>
      </c>
      <c r="H1366" s="10"/>
      <c r="I1366" s="10">
        <v>0</v>
      </c>
    </row>
    <row r="1367" spans="1:9" ht="21.75" customHeight="1">
      <c r="A1367" s="8" t="s">
        <v>37</v>
      </c>
      <c r="B1367" s="8" t="s">
        <v>40</v>
      </c>
      <c r="C1367" s="9" t="str">
        <f t="shared" si="21"/>
        <v>230098</v>
      </c>
      <c r="D1367" s="9" t="str">
        <f>"230915007"</f>
        <v>230915007</v>
      </c>
      <c r="E1367" s="10">
        <v>0</v>
      </c>
      <c r="F1367" s="10"/>
      <c r="G1367" s="10">
        <v>0</v>
      </c>
      <c r="H1367" s="10"/>
      <c r="I1367" s="10">
        <v>0</v>
      </c>
    </row>
    <row r="1368" spans="1:9" ht="21.75" customHeight="1">
      <c r="A1368" s="8" t="s">
        <v>37</v>
      </c>
      <c r="B1368" s="8" t="s">
        <v>40</v>
      </c>
      <c r="C1368" s="9" t="str">
        <f t="shared" si="21"/>
        <v>230098</v>
      </c>
      <c r="D1368" s="9" t="str">
        <f>"230915008"</f>
        <v>230915008</v>
      </c>
      <c r="E1368" s="10">
        <v>0</v>
      </c>
      <c r="F1368" s="10"/>
      <c r="G1368" s="10">
        <v>0</v>
      </c>
      <c r="H1368" s="10"/>
      <c r="I1368" s="10">
        <v>0</v>
      </c>
    </row>
    <row r="1369" spans="1:9" ht="21.75" customHeight="1">
      <c r="A1369" s="8" t="s">
        <v>37</v>
      </c>
      <c r="B1369" s="8" t="s">
        <v>40</v>
      </c>
      <c r="C1369" s="9" t="str">
        <f t="shared" si="21"/>
        <v>230098</v>
      </c>
      <c r="D1369" s="9" t="str">
        <f>"230915011"</f>
        <v>230915011</v>
      </c>
      <c r="E1369" s="10">
        <v>0</v>
      </c>
      <c r="F1369" s="10"/>
      <c r="G1369" s="10">
        <v>0</v>
      </c>
      <c r="H1369" s="10"/>
      <c r="I1369" s="10">
        <v>0</v>
      </c>
    </row>
    <row r="1370" spans="1:9" s="1" customFormat="1" ht="21.75" customHeight="1">
      <c r="A1370" s="8" t="s">
        <v>37</v>
      </c>
      <c r="B1370" s="8" t="s">
        <v>40</v>
      </c>
      <c r="C1370" s="9" t="str">
        <f t="shared" si="21"/>
        <v>230098</v>
      </c>
      <c r="D1370" s="9" t="str">
        <f>"230915016"</f>
        <v>230915016</v>
      </c>
      <c r="E1370" s="10">
        <v>0</v>
      </c>
      <c r="F1370" s="10"/>
      <c r="G1370" s="10">
        <v>0</v>
      </c>
      <c r="H1370" s="10"/>
      <c r="I1370" s="10">
        <v>0</v>
      </c>
    </row>
    <row r="1371" spans="1:9" ht="21.75" customHeight="1">
      <c r="A1371" s="8" t="s">
        <v>37</v>
      </c>
      <c r="B1371" s="8" t="s">
        <v>40</v>
      </c>
      <c r="C1371" s="9" t="str">
        <f t="shared" si="21"/>
        <v>230098</v>
      </c>
      <c r="D1371" s="9" t="str">
        <f>"230915018"</f>
        <v>230915018</v>
      </c>
      <c r="E1371" s="10">
        <v>0</v>
      </c>
      <c r="F1371" s="10"/>
      <c r="G1371" s="10">
        <v>0</v>
      </c>
      <c r="H1371" s="10"/>
      <c r="I1371" s="10">
        <v>0</v>
      </c>
    </row>
    <row r="1372" spans="1:9" ht="21.75" customHeight="1">
      <c r="A1372" s="8" t="s">
        <v>37</v>
      </c>
      <c r="B1372" s="8" t="s">
        <v>40</v>
      </c>
      <c r="C1372" s="9" t="str">
        <f t="shared" si="21"/>
        <v>230098</v>
      </c>
      <c r="D1372" s="9" t="str">
        <f>"230915024"</f>
        <v>230915024</v>
      </c>
      <c r="E1372" s="10">
        <v>0</v>
      </c>
      <c r="F1372" s="10"/>
      <c r="G1372" s="10">
        <v>0</v>
      </c>
      <c r="H1372" s="10"/>
      <c r="I1372" s="10">
        <v>0</v>
      </c>
    </row>
    <row r="1373" spans="1:9" s="1" customFormat="1" ht="21.75" customHeight="1">
      <c r="A1373" s="8" t="s">
        <v>37</v>
      </c>
      <c r="B1373" s="8" t="s">
        <v>40</v>
      </c>
      <c r="C1373" s="9" t="str">
        <f t="shared" si="21"/>
        <v>230098</v>
      </c>
      <c r="D1373" s="9" t="str">
        <f>"230915025"</f>
        <v>230915025</v>
      </c>
      <c r="E1373" s="10">
        <v>0</v>
      </c>
      <c r="F1373" s="10"/>
      <c r="G1373" s="10">
        <v>0</v>
      </c>
      <c r="H1373" s="10"/>
      <c r="I1373" s="10">
        <v>0</v>
      </c>
    </row>
    <row r="1374" spans="1:9" ht="21.75" customHeight="1">
      <c r="A1374" s="8" t="s">
        <v>37</v>
      </c>
      <c r="B1374" s="8" t="s">
        <v>40</v>
      </c>
      <c r="C1374" s="9" t="str">
        <f t="shared" si="21"/>
        <v>230098</v>
      </c>
      <c r="D1374" s="9" t="str">
        <f>"230915028"</f>
        <v>230915028</v>
      </c>
      <c r="E1374" s="10">
        <v>0</v>
      </c>
      <c r="F1374" s="10"/>
      <c r="G1374" s="10">
        <v>0</v>
      </c>
      <c r="H1374" s="10"/>
      <c r="I1374" s="10">
        <v>0</v>
      </c>
    </row>
    <row r="1375" spans="1:9" ht="21.75" customHeight="1">
      <c r="A1375" s="8" t="s">
        <v>37</v>
      </c>
      <c r="B1375" s="8" t="s">
        <v>40</v>
      </c>
      <c r="C1375" s="9" t="str">
        <f t="shared" si="21"/>
        <v>230098</v>
      </c>
      <c r="D1375" s="9" t="str">
        <f>"230915101"</f>
        <v>230915101</v>
      </c>
      <c r="E1375" s="10">
        <v>0</v>
      </c>
      <c r="F1375" s="10"/>
      <c r="G1375" s="10">
        <v>0</v>
      </c>
      <c r="H1375" s="10"/>
      <c r="I1375" s="10">
        <v>0</v>
      </c>
    </row>
    <row r="1376" spans="1:9" s="1" customFormat="1" ht="21.75" customHeight="1">
      <c r="A1376" s="8" t="s">
        <v>37</v>
      </c>
      <c r="B1376" s="8" t="s">
        <v>40</v>
      </c>
      <c r="C1376" s="9" t="str">
        <f t="shared" si="21"/>
        <v>230098</v>
      </c>
      <c r="D1376" s="9" t="str">
        <f>"230915106"</f>
        <v>230915106</v>
      </c>
      <c r="E1376" s="10">
        <v>0</v>
      </c>
      <c r="F1376" s="10"/>
      <c r="G1376" s="10">
        <v>0</v>
      </c>
      <c r="H1376" s="10"/>
      <c r="I1376" s="10">
        <v>0</v>
      </c>
    </row>
    <row r="1377" spans="1:9" s="1" customFormat="1" ht="21.75" customHeight="1">
      <c r="A1377" s="8" t="s">
        <v>37</v>
      </c>
      <c r="B1377" s="8" t="s">
        <v>40</v>
      </c>
      <c r="C1377" s="9" t="str">
        <f t="shared" si="21"/>
        <v>230098</v>
      </c>
      <c r="D1377" s="9" t="str">
        <f>"230915108"</f>
        <v>230915108</v>
      </c>
      <c r="E1377" s="10">
        <v>0</v>
      </c>
      <c r="F1377" s="10"/>
      <c r="G1377" s="10">
        <v>0</v>
      </c>
      <c r="H1377" s="10"/>
      <c r="I1377" s="10">
        <v>0</v>
      </c>
    </row>
    <row r="1378" spans="1:9" ht="21.75" customHeight="1">
      <c r="A1378" s="8" t="s">
        <v>37</v>
      </c>
      <c r="B1378" s="8" t="s">
        <v>40</v>
      </c>
      <c r="C1378" s="9" t="str">
        <f t="shared" si="21"/>
        <v>230098</v>
      </c>
      <c r="D1378" s="9" t="str">
        <f>"230915112"</f>
        <v>230915112</v>
      </c>
      <c r="E1378" s="10">
        <v>0</v>
      </c>
      <c r="F1378" s="10"/>
      <c r="G1378" s="10">
        <v>0</v>
      </c>
      <c r="H1378" s="10"/>
      <c r="I1378" s="10">
        <v>0</v>
      </c>
    </row>
    <row r="1379" spans="1:9" s="1" customFormat="1" ht="21.75" customHeight="1">
      <c r="A1379" s="8" t="s">
        <v>37</v>
      </c>
      <c r="B1379" s="8" t="s">
        <v>40</v>
      </c>
      <c r="C1379" s="9" t="str">
        <f t="shared" si="21"/>
        <v>230098</v>
      </c>
      <c r="D1379" s="9" t="str">
        <f>"230915113"</f>
        <v>230915113</v>
      </c>
      <c r="E1379" s="10">
        <v>0</v>
      </c>
      <c r="F1379" s="10"/>
      <c r="G1379" s="10">
        <v>0</v>
      </c>
      <c r="H1379" s="10"/>
      <c r="I1379" s="10">
        <v>0</v>
      </c>
    </row>
    <row r="1380" spans="1:9" ht="21.75" customHeight="1">
      <c r="A1380" s="8" t="s">
        <v>37</v>
      </c>
      <c r="B1380" s="8" t="s">
        <v>40</v>
      </c>
      <c r="C1380" s="9" t="str">
        <f t="shared" si="21"/>
        <v>230098</v>
      </c>
      <c r="D1380" s="9" t="str">
        <f>"230915115"</f>
        <v>230915115</v>
      </c>
      <c r="E1380" s="10">
        <v>0</v>
      </c>
      <c r="F1380" s="10"/>
      <c r="G1380" s="10">
        <v>0</v>
      </c>
      <c r="H1380" s="10"/>
      <c r="I1380" s="10">
        <v>0</v>
      </c>
    </row>
    <row r="1381" spans="1:9" ht="21.75" customHeight="1">
      <c r="A1381" s="8" t="s">
        <v>37</v>
      </c>
      <c r="B1381" s="8" t="s">
        <v>40</v>
      </c>
      <c r="C1381" s="9" t="str">
        <f t="shared" si="21"/>
        <v>230098</v>
      </c>
      <c r="D1381" s="9" t="str">
        <f>"230915117"</f>
        <v>230915117</v>
      </c>
      <c r="E1381" s="10">
        <v>0</v>
      </c>
      <c r="F1381" s="10"/>
      <c r="G1381" s="10">
        <v>0</v>
      </c>
      <c r="H1381" s="10"/>
      <c r="I1381" s="10">
        <v>0</v>
      </c>
    </row>
    <row r="1382" spans="1:9" ht="21.75" customHeight="1">
      <c r="A1382" s="8" t="s">
        <v>37</v>
      </c>
      <c r="B1382" s="8" t="s">
        <v>40</v>
      </c>
      <c r="C1382" s="9" t="str">
        <f t="shared" si="21"/>
        <v>230098</v>
      </c>
      <c r="D1382" s="9" t="str">
        <f>"230915120"</f>
        <v>230915120</v>
      </c>
      <c r="E1382" s="10">
        <v>0</v>
      </c>
      <c r="F1382" s="10"/>
      <c r="G1382" s="10">
        <v>0</v>
      </c>
      <c r="H1382" s="10"/>
      <c r="I1382" s="10">
        <v>0</v>
      </c>
    </row>
    <row r="1383" spans="1:9" ht="21.75" customHeight="1">
      <c r="A1383" s="8" t="s">
        <v>37</v>
      </c>
      <c r="B1383" s="8" t="s">
        <v>40</v>
      </c>
      <c r="C1383" s="9" t="str">
        <f t="shared" si="21"/>
        <v>230098</v>
      </c>
      <c r="D1383" s="9" t="str">
        <f>"230915126"</f>
        <v>230915126</v>
      </c>
      <c r="E1383" s="10">
        <v>0</v>
      </c>
      <c r="F1383" s="10"/>
      <c r="G1383" s="10">
        <v>0</v>
      </c>
      <c r="H1383" s="10"/>
      <c r="I1383" s="10">
        <v>0</v>
      </c>
    </row>
    <row r="1384" spans="1:9" ht="21.75" customHeight="1">
      <c r="A1384" s="8" t="s">
        <v>37</v>
      </c>
      <c r="B1384" s="8" t="s">
        <v>40</v>
      </c>
      <c r="C1384" s="9" t="str">
        <f t="shared" si="21"/>
        <v>230098</v>
      </c>
      <c r="D1384" s="9" t="str">
        <f>"230915128"</f>
        <v>230915128</v>
      </c>
      <c r="E1384" s="10">
        <v>0</v>
      </c>
      <c r="F1384" s="10"/>
      <c r="G1384" s="10">
        <v>0</v>
      </c>
      <c r="H1384" s="10"/>
      <c r="I1384" s="10">
        <v>0</v>
      </c>
    </row>
    <row r="1385" spans="1:9" ht="21.75" customHeight="1">
      <c r="A1385" s="8" t="s">
        <v>37</v>
      </c>
      <c r="B1385" s="8" t="s">
        <v>40</v>
      </c>
      <c r="C1385" s="9" t="str">
        <f t="shared" si="21"/>
        <v>230098</v>
      </c>
      <c r="D1385" s="9" t="str">
        <f>"230915129"</f>
        <v>230915129</v>
      </c>
      <c r="E1385" s="10">
        <v>0</v>
      </c>
      <c r="F1385" s="10"/>
      <c r="G1385" s="10">
        <v>0</v>
      </c>
      <c r="H1385" s="10"/>
      <c r="I1385" s="10">
        <v>0</v>
      </c>
    </row>
    <row r="1386" spans="1:9" s="1" customFormat="1" ht="21.75" customHeight="1">
      <c r="A1386" s="8" t="s">
        <v>37</v>
      </c>
      <c r="B1386" s="8" t="s">
        <v>40</v>
      </c>
      <c r="C1386" s="9" t="str">
        <f t="shared" si="21"/>
        <v>230098</v>
      </c>
      <c r="D1386" s="9" t="str">
        <f>"230915206"</f>
        <v>230915206</v>
      </c>
      <c r="E1386" s="10">
        <v>0</v>
      </c>
      <c r="F1386" s="10"/>
      <c r="G1386" s="10">
        <v>0</v>
      </c>
      <c r="H1386" s="10"/>
      <c r="I1386" s="10">
        <v>0</v>
      </c>
    </row>
    <row r="1387" spans="1:9" ht="21.75" customHeight="1">
      <c r="A1387" s="8" t="s">
        <v>37</v>
      </c>
      <c r="B1387" s="8" t="s">
        <v>40</v>
      </c>
      <c r="C1387" s="9" t="str">
        <f t="shared" si="21"/>
        <v>230098</v>
      </c>
      <c r="D1387" s="9" t="str">
        <f>"230915207"</f>
        <v>230915207</v>
      </c>
      <c r="E1387" s="10">
        <v>0</v>
      </c>
      <c r="F1387" s="10"/>
      <c r="G1387" s="10">
        <v>0</v>
      </c>
      <c r="H1387" s="10"/>
      <c r="I1387" s="10">
        <v>0</v>
      </c>
    </row>
    <row r="1388" spans="1:9" s="1" customFormat="1" ht="21.75" customHeight="1">
      <c r="A1388" s="8" t="s">
        <v>37</v>
      </c>
      <c r="B1388" s="8" t="s">
        <v>40</v>
      </c>
      <c r="C1388" s="9" t="str">
        <f t="shared" si="21"/>
        <v>230098</v>
      </c>
      <c r="D1388" s="9" t="str">
        <f>"230915211"</f>
        <v>230915211</v>
      </c>
      <c r="E1388" s="10">
        <v>0</v>
      </c>
      <c r="F1388" s="10"/>
      <c r="G1388" s="10">
        <v>0</v>
      </c>
      <c r="H1388" s="10"/>
      <c r="I1388" s="10">
        <v>0</v>
      </c>
    </row>
    <row r="1389" spans="1:9" s="1" customFormat="1" ht="21.75" customHeight="1">
      <c r="A1389" s="8" t="s">
        <v>37</v>
      </c>
      <c r="B1389" s="8" t="s">
        <v>40</v>
      </c>
      <c r="C1389" s="9" t="str">
        <f t="shared" si="21"/>
        <v>230098</v>
      </c>
      <c r="D1389" s="9" t="str">
        <f>"230915213"</f>
        <v>230915213</v>
      </c>
      <c r="E1389" s="10">
        <v>0</v>
      </c>
      <c r="F1389" s="10"/>
      <c r="G1389" s="10">
        <v>0</v>
      </c>
      <c r="H1389" s="10"/>
      <c r="I1389" s="10">
        <v>0</v>
      </c>
    </row>
    <row r="1390" spans="1:9" s="1" customFormat="1" ht="21.75" customHeight="1">
      <c r="A1390" s="8" t="s">
        <v>37</v>
      </c>
      <c r="B1390" s="8" t="s">
        <v>40</v>
      </c>
      <c r="C1390" s="9" t="str">
        <f t="shared" ref="C1390:C1453" si="22">"230098"</f>
        <v>230098</v>
      </c>
      <c r="D1390" s="9" t="str">
        <f>"230915217"</f>
        <v>230915217</v>
      </c>
      <c r="E1390" s="10">
        <v>0</v>
      </c>
      <c r="F1390" s="10"/>
      <c r="G1390" s="10">
        <v>0</v>
      </c>
      <c r="H1390" s="10"/>
      <c r="I1390" s="10">
        <v>0</v>
      </c>
    </row>
    <row r="1391" spans="1:9" ht="21.75" customHeight="1">
      <c r="A1391" s="8" t="s">
        <v>37</v>
      </c>
      <c r="B1391" s="8" t="s">
        <v>40</v>
      </c>
      <c r="C1391" s="9" t="str">
        <f t="shared" si="22"/>
        <v>230098</v>
      </c>
      <c r="D1391" s="9" t="str">
        <f>"230915218"</f>
        <v>230915218</v>
      </c>
      <c r="E1391" s="10">
        <v>0</v>
      </c>
      <c r="F1391" s="10"/>
      <c r="G1391" s="10">
        <v>0</v>
      </c>
      <c r="H1391" s="10"/>
      <c r="I1391" s="10">
        <v>0</v>
      </c>
    </row>
    <row r="1392" spans="1:9" ht="21.75" customHeight="1">
      <c r="A1392" s="8" t="s">
        <v>37</v>
      </c>
      <c r="B1392" s="8" t="s">
        <v>40</v>
      </c>
      <c r="C1392" s="9" t="str">
        <f t="shared" si="22"/>
        <v>230098</v>
      </c>
      <c r="D1392" s="9" t="str">
        <f>"230915226"</f>
        <v>230915226</v>
      </c>
      <c r="E1392" s="10">
        <v>0</v>
      </c>
      <c r="F1392" s="10"/>
      <c r="G1392" s="10">
        <v>0</v>
      </c>
      <c r="H1392" s="10"/>
      <c r="I1392" s="10">
        <v>0</v>
      </c>
    </row>
    <row r="1393" spans="1:9" ht="21.75" customHeight="1">
      <c r="A1393" s="8" t="s">
        <v>37</v>
      </c>
      <c r="B1393" s="8" t="s">
        <v>40</v>
      </c>
      <c r="C1393" s="9" t="str">
        <f t="shared" si="22"/>
        <v>230098</v>
      </c>
      <c r="D1393" s="9" t="str">
        <f>"230915229"</f>
        <v>230915229</v>
      </c>
      <c r="E1393" s="10">
        <v>0</v>
      </c>
      <c r="F1393" s="10"/>
      <c r="G1393" s="10">
        <v>0</v>
      </c>
      <c r="H1393" s="10"/>
      <c r="I1393" s="10">
        <v>0</v>
      </c>
    </row>
    <row r="1394" spans="1:9" ht="21.75" customHeight="1">
      <c r="A1394" s="8" t="s">
        <v>37</v>
      </c>
      <c r="B1394" s="8" t="s">
        <v>40</v>
      </c>
      <c r="C1394" s="9" t="str">
        <f t="shared" si="22"/>
        <v>230098</v>
      </c>
      <c r="D1394" s="9" t="str">
        <f>"230915230"</f>
        <v>230915230</v>
      </c>
      <c r="E1394" s="10">
        <v>0</v>
      </c>
      <c r="F1394" s="10"/>
      <c r="G1394" s="10">
        <v>0</v>
      </c>
      <c r="H1394" s="10"/>
      <c r="I1394" s="10">
        <v>0</v>
      </c>
    </row>
    <row r="1395" spans="1:9" ht="21.75" customHeight="1">
      <c r="A1395" s="8" t="s">
        <v>37</v>
      </c>
      <c r="B1395" s="8" t="s">
        <v>40</v>
      </c>
      <c r="C1395" s="9" t="str">
        <f t="shared" si="22"/>
        <v>230098</v>
      </c>
      <c r="D1395" s="9" t="str">
        <f>"230915302"</f>
        <v>230915302</v>
      </c>
      <c r="E1395" s="10">
        <v>0</v>
      </c>
      <c r="F1395" s="10"/>
      <c r="G1395" s="10">
        <v>0</v>
      </c>
      <c r="H1395" s="10"/>
      <c r="I1395" s="10">
        <v>0</v>
      </c>
    </row>
    <row r="1396" spans="1:9" s="1" customFormat="1" ht="21.75" customHeight="1">
      <c r="A1396" s="8" t="s">
        <v>37</v>
      </c>
      <c r="B1396" s="8" t="s">
        <v>40</v>
      </c>
      <c r="C1396" s="9" t="str">
        <f t="shared" si="22"/>
        <v>230098</v>
      </c>
      <c r="D1396" s="9" t="str">
        <f>"230915305"</f>
        <v>230915305</v>
      </c>
      <c r="E1396" s="10">
        <v>0</v>
      </c>
      <c r="F1396" s="10"/>
      <c r="G1396" s="10">
        <v>0</v>
      </c>
      <c r="H1396" s="10"/>
      <c r="I1396" s="10">
        <v>0</v>
      </c>
    </row>
    <row r="1397" spans="1:9" s="1" customFormat="1" ht="21.75" customHeight="1">
      <c r="A1397" s="8" t="s">
        <v>37</v>
      </c>
      <c r="B1397" s="8" t="s">
        <v>40</v>
      </c>
      <c r="C1397" s="9" t="str">
        <f t="shared" si="22"/>
        <v>230098</v>
      </c>
      <c r="D1397" s="9" t="str">
        <f>"230915308"</f>
        <v>230915308</v>
      </c>
      <c r="E1397" s="10">
        <v>0</v>
      </c>
      <c r="F1397" s="10"/>
      <c r="G1397" s="10">
        <v>0</v>
      </c>
      <c r="H1397" s="10"/>
      <c r="I1397" s="10">
        <v>0</v>
      </c>
    </row>
    <row r="1398" spans="1:9" ht="21.75" customHeight="1">
      <c r="A1398" s="8" t="s">
        <v>37</v>
      </c>
      <c r="B1398" s="8" t="s">
        <v>40</v>
      </c>
      <c r="C1398" s="9" t="str">
        <f t="shared" si="22"/>
        <v>230098</v>
      </c>
      <c r="D1398" s="9" t="str">
        <f>"230915310"</f>
        <v>230915310</v>
      </c>
      <c r="E1398" s="10">
        <v>0</v>
      </c>
      <c r="F1398" s="10"/>
      <c r="G1398" s="10">
        <v>0</v>
      </c>
      <c r="H1398" s="10"/>
      <c r="I1398" s="10">
        <v>0</v>
      </c>
    </row>
    <row r="1399" spans="1:9" ht="21.75" customHeight="1">
      <c r="A1399" s="8" t="s">
        <v>37</v>
      </c>
      <c r="B1399" s="8" t="s">
        <v>40</v>
      </c>
      <c r="C1399" s="9" t="str">
        <f t="shared" si="22"/>
        <v>230098</v>
      </c>
      <c r="D1399" s="9" t="str">
        <f>"230915322"</f>
        <v>230915322</v>
      </c>
      <c r="E1399" s="10">
        <v>0</v>
      </c>
      <c r="F1399" s="10"/>
      <c r="G1399" s="10">
        <v>0</v>
      </c>
      <c r="H1399" s="10"/>
      <c r="I1399" s="10">
        <v>0</v>
      </c>
    </row>
    <row r="1400" spans="1:9" ht="21.75" customHeight="1">
      <c r="A1400" s="8" t="s">
        <v>37</v>
      </c>
      <c r="B1400" s="8" t="s">
        <v>40</v>
      </c>
      <c r="C1400" s="9" t="str">
        <f t="shared" si="22"/>
        <v>230098</v>
      </c>
      <c r="D1400" s="9" t="str">
        <f>"230915325"</f>
        <v>230915325</v>
      </c>
      <c r="E1400" s="10">
        <v>0</v>
      </c>
      <c r="F1400" s="10"/>
      <c r="G1400" s="10">
        <v>0</v>
      </c>
      <c r="H1400" s="10"/>
      <c r="I1400" s="10">
        <v>0</v>
      </c>
    </row>
    <row r="1401" spans="1:9" ht="21.75" customHeight="1">
      <c r="A1401" s="8" t="s">
        <v>37</v>
      </c>
      <c r="B1401" s="8" t="s">
        <v>40</v>
      </c>
      <c r="C1401" s="9" t="str">
        <f t="shared" si="22"/>
        <v>230098</v>
      </c>
      <c r="D1401" s="9" t="str">
        <f>"230915327"</f>
        <v>230915327</v>
      </c>
      <c r="E1401" s="10">
        <v>0</v>
      </c>
      <c r="F1401" s="10"/>
      <c r="G1401" s="10">
        <v>0</v>
      </c>
      <c r="H1401" s="10"/>
      <c r="I1401" s="10">
        <v>0</v>
      </c>
    </row>
    <row r="1402" spans="1:9" ht="21.75" customHeight="1">
      <c r="A1402" s="8" t="s">
        <v>37</v>
      </c>
      <c r="B1402" s="8" t="s">
        <v>40</v>
      </c>
      <c r="C1402" s="9" t="str">
        <f t="shared" si="22"/>
        <v>230098</v>
      </c>
      <c r="D1402" s="9" t="str">
        <f>"230915328"</f>
        <v>230915328</v>
      </c>
      <c r="E1402" s="10">
        <v>0</v>
      </c>
      <c r="F1402" s="10"/>
      <c r="G1402" s="10">
        <v>0</v>
      </c>
      <c r="H1402" s="10"/>
      <c r="I1402" s="10">
        <v>0</v>
      </c>
    </row>
    <row r="1403" spans="1:9" ht="21.75" customHeight="1">
      <c r="A1403" s="8" t="s">
        <v>37</v>
      </c>
      <c r="B1403" s="8" t="s">
        <v>40</v>
      </c>
      <c r="C1403" s="9" t="str">
        <f t="shared" si="22"/>
        <v>230098</v>
      </c>
      <c r="D1403" s="9" t="str">
        <f>"230915408"</f>
        <v>230915408</v>
      </c>
      <c r="E1403" s="10">
        <v>0</v>
      </c>
      <c r="F1403" s="10"/>
      <c r="G1403" s="10">
        <v>0</v>
      </c>
      <c r="H1403" s="10"/>
      <c r="I1403" s="10">
        <v>0</v>
      </c>
    </row>
    <row r="1404" spans="1:9" ht="21.75" customHeight="1">
      <c r="A1404" s="8" t="s">
        <v>37</v>
      </c>
      <c r="B1404" s="8" t="s">
        <v>40</v>
      </c>
      <c r="C1404" s="9" t="str">
        <f t="shared" si="22"/>
        <v>230098</v>
      </c>
      <c r="D1404" s="9" t="str">
        <f>"230915413"</f>
        <v>230915413</v>
      </c>
      <c r="E1404" s="10">
        <v>0</v>
      </c>
      <c r="F1404" s="10"/>
      <c r="G1404" s="10">
        <v>0</v>
      </c>
      <c r="H1404" s="10"/>
      <c r="I1404" s="10">
        <v>0</v>
      </c>
    </row>
    <row r="1405" spans="1:9" s="1" customFormat="1" ht="21.75" customHeight="1">
      <c r="A1405" s="8" t="s">
        <v>37</v>
      </c>
      <c r="B1405" s="8" t="s">
        <v>40</v>
      </c>
      <c r="C1405" s="9" t="str">
        <f t="shared" si="22"/>
        <v>230098</v>
      </c>
      <c r="D1405" s="9" t="str">
        <f>"230915421"</f>
        <v>230915421</v>
      </c>
      <c r="E1405" s="10">
        <v>0</v>
      </c>
      <c r="F1405" s="10"/>
      <c r="G1405" s="10">
        <v>0</v>
      </c>
      <c r="H1405" s="10"/>
      <c r="I1405" s="10">
        <v>0</v>
      </c>
    </row>
    <row r="1406" spans="1:9" ht="21.75" customHeight="1">
      <c r="A1406" s="8" t="s">
        <v>37</v>
      </c>
      <c r="B1406" s="8" t="s">
        <v>40</v>
      </c>
      <c r="C1406" s="9" t="str">
        <f t="shared" si="22"/>
        <v>230098</v>
      </c>
      <c r="D1406" s="9" t="str">
        <f>"230915424"</f>
        <v>230915424</v>
      </c>
      <c r="E1406" s="10">
        <v>0</v>
      </c>
      <c r="F1406" s="10"/>
      <c r="G1406" s="10">
        <v>0</v>
      </c>
      <c r="H1406" s="10"/>
      <c r="I1406" s="10">
        <v>0</v>
      </c>
    </row>
    <row r="1407" spans="1:9" ht="21.75" customHeight="1">
      <c r="A1407" s="8" t="s">
        <v>37</v>
      </c>
      <c r="B1407" s="8" t="s">
        <v>40</v>
      </c>
      <c r="C1407" s="9" t="str">
        <f t="shared" si="22"/>
        <v>230098</v>
      </c>
      <c r="D1407" s="9" t="str">
        <f>"230915430"</f>
        <v>230915430</v>
      </c>
      <c r="E1407" s="10">
        <v>0</v>
      </c>
      <c r="F1407" s="10"/>
      <c r="G1407" s="10">
        <v>0</v>
      </c>
      <c r="H1407" s="10"/>
      <c r="I1407" s="10">
        <v>0</v>
      </c>
    </row>
    <row r="1408" spans="1:9" s="1" customFormat="1" ht="21.75" customHeight="1">
      <c r="A1408" s="8" t="s">
        <v>37</v>
      </c>
      <c r="B1408" s="8" t="s">
        <v>40</v>
      </c>
      <c r="C1408" s="9" t="str">
        <f t="shared" si="22"/>
        <v>230098</v>
      </c>
      <c r="D1408" s="9" t="str">
        <f>"230915503"</f>
        <v>230915503</v>
      </c>
      <c r="E1408" s="10">
        <v>0</v>
      </c>
      <c r="F1408" s="10"/>
      <c r="G1408" s="10">
        <v>0</v>
      </c>
      <c r="H1408" s="10"/>
      <c r="I1408" s="10">
        <v>0</v>
      </c>
    </row>
    <row r="1409" spans="1:9" ht="21.75" customHeight="1">
      <c r="A1409" s="8" t="s">
        <v>37</v>
      </c>
      <c r="B1409" s="8" t="s">
        <v>40</v>
      </c>
      <c r="C1409" s="9" t="str">
        <f t="shared" si="22"/>
        <v>230098</v>
      </c>
      <c r="D1409" s="9" t="str">
        <f>"230915508"</f>
        <v>230915508</v>
      </c>
      <c r="E1409" s="10">
        <v>0</v>
      </c>
      <c r="F1409" s="10"/>
      <c r="G1409" s="10">
        <v>0</v>
      </c>
      <c r="H1409" s="10"/>
      <c r="I1409" s="10">
        <v>0</v>
      </c>
    </row>
    <row r="1410" spans="1:9" ht="21.75" customHeight="1">
      <c r="A1410" s="8" t="s">
        <v>37</v>
      </c>
      <c r="B1410" s="8" t="s">
        <v>40</v>
      </c>
      <c r="C1410" s="9" t="str">
        <f t="shared" si="22"/>
        <v>230098</v>
      </c>
      <c r="D1410" s="9" t="str">
        <f>"230915511"</f>
        <v>230915511</v>
      </c>
      <c r="E1410" s="10">
        <v>0</v>
      </c>
      <c r="F1410" s="10"/>
      <c r="G1410" s="10">
        <v>0</v>
      </c>
      <c r="H1410" s="10"/>
      <c r="I1410" s="10">
        <v>0</v>
      </c>
    </row>
    <row r="1411" spans="1:9" ht="21.75" customHeight="1">
      <c r="A1411" s="8" t="s">
        <v>37</v>
      </c>
      <c r="B1411" s="8" t="s">
        <v>40</v>
      </c>
      <c r="C1411" s="9" t="str">
        <f t="shared" si="22"/>
        <v>230098</v>
      </c>
      <c r="D1411" s="9" t="str">
        <f>"230915513"</f>
        <v>230915513</v>
      </c>
      <c r="E1411" s="10">
        <v>0</v>
      </c>
      <c r="F1411" s="10"/>
      <c r="G1411" s="10">
        <v>0</v>
      </c>
      <c r="H1411" s="10"/>
      <c r="I1411" s="10">
        <v>0</v>
      </c>
    </row>
    <row r="1412" spans="1:9" ht="21.75" customHeight="1">
      <c r="A1412" s="8" t="s">
        <v>37</v>
      </c>
      <c r="B1412" s="8" t="s">
        <v>40</v>
      </c>
      <c r="C1412" s="9" t="str">
        <f t="shared" si="22"/>
        <v>230098</v>
      </c>
      <c r="D1412" s="9" t="str">
        <f>"230915516"</f>
        <v>230915516</v>
      </c>
      <c r="E1412" s="10">
        <v>0</v>
      </c>
      <c r="F1412" s="10"/>
      <c r="G1412" s="10">
        <v>0</v>
      </c>
      <c r="H1412" s="10"/>
      <c r="I1412" s="10">
        <v>0</v>
      </c>
    </row>
    <row r="1413" spans="1:9" ht="21.75" customHeight="1">
      <c r="A1413" s="8" t="s">
        <v>37</v>
      </c>
      <c r="B1413" s="8" t="s">
        <v>40</v>
      </c>
      <c r="C1413" s="9" t="str">
        <f t="shared" si="22"/>
        <v>230098</v>
      </c>
      <c r="D1413" s="9" t="str">
        <f>"230915521"</f>
        <v>230915521</v>
      </c>
      <c r="E1413" s="10">
        <v>0</v>
      </c>
      <c r="F1413" s="10"/>
      <c r="G1413" s="10">
        <v>0</v>
      </c>
      <c r="H1413" s="10"/>
      <c r="I1413" s="10">
        <v>0</v>
      </c>
    </row>
    <row r="1414" spans="1:9" ht="21.75" customHeight="1">
      <c r="A1414" s="8" t="s">
        <v>37</v>
      </c>
      <c r="B1414" s="8" t="s">
        <v>40</v>
      </c>
      <c r="C1414" s="9" t="str">
        <f t="shared" si="22"/>
        <v>230098</v>
      </c>
      <c r="D1414" s="9" t="str">
        <f>"230915529"</f>
        <v>230915529</v>
      </c>
      <c r="E1414" s="10">
        <v>0</v>
      </c>
      <c r="F1414" s="10"/>
      <c r="G1414" s="10">
        <v>0</v>
      </c>
      <c r="H1414" s="10"/>
      <c r="I1414" s="10">
        <v>0</v>
      </c>
    </row>
    <row r="1415" spans="1:9" ht="21.75" customHeight="1">
      <c r="A1415" s="8" t="s">
        <v>37</v>
      </c>
      <c r="B1415" s="8" t="s">
        <v>40</v>
      </c>
      <c r="C1415" s="9" t="str">
        <f t="shared" si="22"/>
        <v>230098</v>
      </c>
      <c r="D1415" s="9" t="str">
        <f>"230915530"</f>
        <v>230915530</v>
      </c>
      <c r="E1415" s="10">
        <v>0</v>
      </c>
      <c r="F1415" s="10"/>
      <c r="G1415" s="10">
        <v>0</v>
      </c>
      <c r="H1415" s="10"/>
      <c r="I1415" s="10">
        <v>0</v>
      </c>
    </row>
    <row r="1416" spans="1:9" ht="21.75" customHeight="1">
      <c r="A1416" s="8" t="s">
        <v>37</v>
      </c>
      <c r="B1416" s="8" t="s">
        <v>40</v>
      </c>
      <c r="C1416" s="9" t="str">
        <f t="shared" si="22"/>
        <v>230098</v>
      </c>
      <c r="D1416" s="9" t="str">
        <f>"230915603"</f>
        <v>230915603</v>
      </c>
      <c r="E1416" s="10">
        <v>0</v>
      </c>
      <c r="F1416" s="10"/>
      <c r="G1416" s="10">
        <v>0</v>
      </c>
      <c r="H1416" s="10"/>
      <c r="I1416" s="10">
        <v>0</v>
      </c>
    </row>
    <row r="1417" spans="1:9" ht="21.75" customHeight="1">
      <c r="A1417" s="8" t="s">
        <v>37</v>
      </c>
      <c r="B1417" s="8" t="s">
        <v>40</v>
      </c>
      <c r="C1417" s="9" t="str">
        <f t="shared" si="22"/>
        <v>230098</v>
      </c>
      <c r="D1417" s="9" t="str">
        <f>"230915605"</f>
        <v>230915605</v>
      </c>
      <c r="E1417" s="10">
        <v>0</v>
      </c>
      <c r="F1417" s="10"/>
      <c r="G1417" s="10">
        <v>0</v>
      </c>
      <c r="H1417" s="10"/>
      <c r="I1417" s="10">
        <v>0</v>
      </c>
    </row>
    <row r="1418" spans="1:9" ht="21.75" customHeight="1">
      <c r="A1418" s="8" t="s">
        <v>37</v>
      </c>
      <c r="B1418" s="8" t="s">
        <v>40</v>
      </c>
      <c r="C1418" s="9" t="str">
        <f t="shared" si="22"/>
        <v>230098</v>
      </c>
      <c r="D1418" s="9" t="str">
        <f>"230915611"</f>
        <v>230915611</v>
      </c>
      <c r="E1418" s="10">
        <v>0</v>
      </c>
      <c r="F1418" s="10"/>
      <c r="G1418" s="10">
        <v>0</v>
      </c>
      <c r="H1418" s="10"/>
      <c r="I1418" s="10">
        <v>0</v>
      </c>
    </row>
    <row r="1419" spans="1:9" ht="21.75" customHeight="1">
      <c r="A1419" s="8" t="s">
        <v>37</v>
      </c>
      <c r="B1419" s="8" t="s">
        <v>40</v>
      </c>
      <c r="C1419" s="9" t="str">
        <f t="shared" si="22"/>
        <v>230098</v>
      </c>
      <c r="D1419" s="9" t="str">
        <f>"230915613"</f>
        <v>230915613</v>
      </c>
      <c r="E1419" s="10">
        <v>0</v>
      </c>
      <c r="F1419" s="10"/>
      <c r="G1419" s="10">
        <v>0</v>
      </c>
      <c r="H1419" s="10"/>
      <c r="I1419" s="10">
        <v>0</v>
      </c>
    </row>
    <row r="1420" spans="1:9" ht="21.75" customHeight="1">
      <c r="A1420" s="8" t="s">
        <v>37</v>
      </c>
      <c r="B1420" s="8" t="s">
        <v>40</v>
      </c>
      <c r="C1420" s="9" t="str">
        <f t="shared" si="22"/>
        <v>230098</v>
      </c>
      <c r="D1420" s="9" t="str">
        <f>"230915614"</f>
        <v>230915614</v>
      </c>
      <c r="E1420" s="10">
        <v>0</v>
      </c>
      <c r="F1420" s="10"/>
      <c r="G1420" s="10">
        <v>0</v>
      </c>
      <c r="H1420" s="10"/>
      <c r="I1420" s="10">
        <v>0</v>
      </c>
    </row>
    <row r="1421" spans="1:9" ht="21.75" customHeight="1">
      <c r="A1421" s="8" t="s">
        <v>37</v>
      </c>
      <c r="B1421" s="8" t="s">
        <v>40</v>
      </c>
      <c r="C1421" s="9" t="str">
        <f t="shared" si="22"/>
        <v>230098</v>
      </c>
      <c r="D1421" s="9" t="str">
        <f>"230915623"</f>
        <v>230915623</v>
      </c>
      <c r="E1421" s="10">
        <v>0</v>
      </c>
      <c r="F1421" s="10"/>
      <c r="G1421" s="10">
        <v>0</v>
      </c>
      <c r="H1421" s="10"/>
      <c r="I1421" s="10">
        <v>0</v>
      </c>
    </row>
    <row r="1422" spans="1:9" s="1" customFormat="1" ht="21.75" customHeight="1">
      <c r="A1422" s="8" t="s">
        <v>37</v>
      </c>
      <c r="B1422" s="8" t="s">
        <v>40</v>
      </c>
      <c r="C1422" s="9" t="str">
        <f t="shared" si="22"/>
        <v>230098</v>
      </c>
      <c r="D1422" s="9" t="str">
        <f>"230915626"</f>
        <v>230915626</v>
      </c>
      <c r="E1422" s="10">
        <v>0</v>
      </c>
      <c r="F1422" s="10"/>
      <c r="G1422" s="10">
        <v>0</v>
      </c>
      <c r="H1422" s="10"/>
      <c r="I1422" s="10">
        <v>0</v>
      </c>
    </row>
    <row r="1423" spans="1:9" ht="21.75" customHeight="1">
      <c r="A1423" s="8" t="s">
        <v>37</v>
      </c>
      <c r="B1423" s="8" t="s">
        <v>40</v>
      </c>
      <c r="C1423" s="9" t="str">
        <f t="shared" si="22"/>
        <v>230098</v>
      </c>
      <c r="D1423" s="9" t="str">
        <f>"230915627"</f>
        <v>230915627</v>
      </c>
      <c r="E1423" s="10">
        <v>0</v>
      </c>
      <c r="F1423" s="10"/>
      <c r="G1423" s="10">
        <v>0</v>
      </c>
      <c r="H1423" s="10"/>
      <c r="I1423" s="10">
        <v>0</v>
      </c>
    </row>
    <row r="1424" spans="1:9" s="1" customFormat="1" ht="21.75" customHeight="1">
      <c r="A1424" s="8" t="s">
        <v>37</v>
      </c>
      <c r="B1424" s="8" t="s">
        <v>40</v>
      </c>
      <c r="C1424" s="9" t="str">
        <f t="shared" si="22"/>
        <v>230098</v>
      </c>
      <c r="D1424" s="9" t="str">
        <f>"230915628"</f>
        <v>230915628</v>
      </c>
      <c r="E1424" s="10">
        <v>0</v>
      </c>
      <c r="F1424" s="10"/>
      <c r="G1424" s="10">
        <v>0</v>
      </c>
      <c r="H1424" s="10"/>
      <c r="I1424" s="10">
        <v>0</v>
      </c>
    </row>
    <row r="1425" spans="1:9" ht="21.75" customHeight="1">
      <c r="A1425" s="8" t="s">
        <v>37</v>
      </c>
      <c r="B1425" s="8" t="s">
        <v>40</v>
      </c>
      <c r="C1425" s="9" t="str">
        <f t="shared" si="22"/>
        <v>230098</v>
      </c>
      <c r="D1425" s="9" t="str">
        <f>"230915630"</f>
        <v>230915630</v>
      </c>
      <c r="E1425" s="10">
        <v>0</v>
      </c>
      <c r="F1425" s="10"/>
      <c r="G1425" s="10">
        <v>0</v>
      </c>
      <c r="H1425" s="10"/>
      <c r="I1425" s="10">
        <v>0</v>
      </c>
    </row>
    <row r="1426" spans="1:9" ht="21.75" customHeight="1">
      <c r="A1426" s="8" t="s">
        <v>37</v>
      </c>
      <c r="B1426" s="8" t="s">
        <v>40</v>
      </c>
      <c r="C1426" s="9" t="str">
        <f t="shared" si="22"/>
        <v>230098</v>
      </c>
      <c r="D1426" s="9" t="str">
        <f>"230915709"</f>
        <v>230915709</v>
      </c>
      <c r="E1426" s="10">
        <v>0</v>
      </c>
      <c r="F1426" s="10"/>
      <c r="G1426" s="10">
        <v>0</v>
      </c>
      <c r="H1426" s="10"/>
      <c r="I1426" s="10">
        <v>0</v>
      </c>
    </row>
    <row r="1427" spans="1:9" s="1" customFormat="1" ht="21.75" customHeight="1">
      <c r="A1427" s="8" t="s">
        <v>37</v>
      </c>
      <c r="B1427" s="8" t="s">
        <v>40</v>
      </c>
      <c r="C1427" s="9" t="str">
        <f t="shared" si="22"/>
        <v>230098</v>
      </c>
      <c r="D1427" s="9" t="str">
        <f>"230915716"</f>
        <v>230915716</v>
      </c>
      <c r="E1427" s="10">
        <v>0</v>
      </c>
      <c r="F1427" s="10"/>
      <c r="G1427" s="10">
        <v>0</v>
      </c>
      <c r="H1427" s="10"/>
      <c r="I1427" s="10">
        <v>0</v>
      </c>
    </row>
    <row r="1428" spans="1:9" ht="21.75" customHeight="1">
      <c r="A1428" s="8" t="s">
        <v>37</v>
      </c>
      <c r="B1428" s="8" t="s">
        <v>40</v>
      </c>
      <c r="C1428" s="9" t="str">
        <f t="shared" si="22"/>
        <v>230098</v>
      </c>
      <c r="D1428" s="9" t="str">
        <f>"230915717"</f>
        <v>230915717</v>
      </c>
      <c r="E1428" s="10">
        <v>0</v>
      </c>
      <c r="F1428" s="10"/>
      <c r="G1428" s="10">
        <v>0</v>
      </c>
      <c r="H1428" s="10"/>
      <c r="I1428" s="10">
        <v>0</v>
      </c>
    </row>
    <row r="1429" spans="1:9" ht="21.75" customHeight="1">
      <c r="A1429" s="8" t="s">
        <v>37</v>
      </c>
      <c r="B1429" s="8" t="s">
        <v>40</v>
      </c>
      <c r="C1429" s="9" t="str">
        <f t="shared" si="22"/>
        <v>230098</v>
      </c>
      <c r="D1429" s="9" t="str">
        <f>"230915720"</f>
        <v>230915720</v>
      </c>
      <c r="E1429" s="10">
        <v>0</v>
      </c>
      <c r="F1429" s="10"/>
      <c r="G1429" s="10">
        <v>0</v>
      </c>
      <c r="H1429" s="10"/>
      <c r="I1429" s="10">
        <v>0</v>
      </c>
    </row>
    <row r="1430" spans="1:9" ht="21.75" customHeight="1">
      <c r="A1430" s="8" t="s">
        <v>37</v>
      </c>
      <c r="B1430" s="8" t="s">
        <v>40</v>
      </c>
      <c r="C1430" s="9" t="str">
        <f t="shared" si="22"/>
        <v>230098</v>
      </c>
      <c r="D1430" s="9" t="str">
        <f>"230915724"</f>
        <v>230915724</v>
      </c>
      <c r="E1430" s="10">
        <v>0</v>
      </c>
      <c r="F1430" s="10"/>
      <c r="G1430" s="10">
        <v>0</v>
      </c>
      <c r="H1430" s="10"/>
      <c r="I1430" s="10">
        <v>0</v>
      </c>
    </row>
    <row r="1431" spans="1:9" ht="21.75" customHeight="1">
      <c r="A1431" s="8" t="s">
        <v>37</v>
      </c>
      <c r="B1431" s="8" t="s">
        <v>40</v>
      </c>
      <c r="C1431" s="9" t="str">
        <f t="shared" si="22"/>
        <v>230098</v>
      </c>
      <c r="D1431" s="9" t="str">
        <f>"230915730"</f>
        <v>230915730</v>
      </c>
      <c r="E1431" s="10">
        <v>0</v>
      </c>
      <c r="F1431" s="10"/>
      <c r="G1431" s="10">
        <v>0</v>
      </c>
      <c r="H1431" s="10"/>
      <c r="I1431" s="10">
        <v>0</v>
      </c>
    </row>
    <row r="1432" spans="1:9" ht="21.75" customHeight="1">
      <c r="A1432" s="8" t="s">
        <v>37</v>
      </c>
      <c r="B1432" s="8" t="s">
        <v>40</v>
      </c>
      <c r="C1432" s="9" t="str">
        <f t="shared" si="22"/>
        <v>230098</v>
      </c>
      <c r="D1432" s="9" t="str">
        <f>"230915805"</f>
        <v>230915805</v>
      </c>
      <c r="E1432" s="10">
        <v>0</v>
      </c>
      <c r="F1432" s="10"/>
      <c r="G1432" s="10">
        <v>0</v>
      </c>
      <c r="H1432" s="10"/>
      <c r="I1432" s="10">
        <v>0</v>
      </c>
    </row>
    <row r="1433" spans="1:9" ht="21.75" customHeight="1">
      <c r="A1433" s="8" t="s">
        <v>37</v>
      </c>
      <c r="B1433" s="8" t="s">
        <v>40</v>
      </c>
      <c r="C1433" s="9" t="str">
        <f t="shared" si="22"/>
        <v>230098</v>
      </c>
      <c r="D1433" s="9" t="str">
        <f>"230915810"</f>
        <v>230915810</v>
      </c>
      <c r="E1433" s="10">
        <v>0</v>
      </c>
      <c r="F1433" s="10"/>
      <c r="G1433" s="10">
        <v>0</v>
      </c>
      <c r="H1433" s="10"/>
      <c r="I1433" s="10">
        <v>0</v>
      </c>
    </row>
    <row r="1434" spans="1:9" s="1" customFormat="1" ht="21.75" customHeight="1">
      <c r="A1434" s="8" t="s">
        <v>37</v>
      </c>
      <c r="B1434" s="8" t="s">
        <v>40</v>
      </c>
      <c r="C1434" s="9" t="str">
        <f t="shared" si="22"/>
        <v>230098</v>
      </c>
      <c r="D1434" s="9" t="str">
        <f>"230915816"</f>
        <v>230915816</v>
      </c>
      <c r="E1434" s="10">
        <v>0</v>
      </c>
      <c r="F1434" s="10"/>
      <c r="G1434" s="10">
        <v>0</v>
      </c>
      <c r="H1434" s="10"/>
      <c r="I1434" s="10">
        <v>0</v>
      </c>
    </row>
    <row r="1435" spans="1:9" ht="21.75" customHeight="1">
      <c r="A1435" s="8" t="s">
        <v>37</v>
      </c>
      <c r="B1435" s="8" t="s">
        <v>40</v>
      </c>
      <c r="C1435" s="9" t="str">
        <f t="shared" si="22"/>
        <v>230098</v>
      </c>
      <c r="D1435" s="9" t="str">
        <f>"230915819"</f>
        <v>230915819</v>
      </c>
      <c r="E1435" s="10">
        <v>0</v>
      </c>
      <c r="F1435" s="10"/>
      <c r="G1435" s="10">
        <v>0</v>
      </c>
      <c r="H1435" s="10"/>
      <c r="I1435" s="10">
        <v>0</v>
      </c>
    </row>
    <row r="1436" spans="1:9" ht="21.75" customHeight="1">
      <c r="A1436" s="8" t="s">
        <v>37</v>
      </c>
      <c r="B1436" s="8" t="s">
        <v>40</v>
      </c>
      <c r="C1436" s="9" t="str">
        <f t="shared" si="22"/>
        <v>230098</v>
      </c>
      <c r="D1436" s="9" t="str">
        <f>"230915823"</f>
        <v>230915823</v>
      </c>
      <c r="E1436" s="10">
        <v>0</v>
      </c>
      <c r="F1436" s="10"/>
      <c r="G1436" s="10">
        <v>0</v>
      </c>
      <c r="H1436" s="10"/>
      <c r="I1436" s="10">
        <v>0</v>
      </c>
    </row>
    <row r="1437" spans="1:9" s="1" customFormat="1" ht="21.75" customHeight="1">
      <c r="A1437" s="8" t="s">
        <v>37</v>
      </c>
      <c r="B1437" s="8" t="s">
        <v>40</v>
      </c>
      <c r="C1437" s="9" t="str">
        <f t="shared" si="22"/>
        <v>230098</v>
      </c>
      <c r="D1437" s="9" t="str">
        <f>"230915824"</f>
        <v>230915824</v>
      </c>
      <c r="E1437" s="10">
        <v>0</v>
      </c>
      <c r="F1437" s="10"/>
      <c r="G1437" s="10">
        <v>0</v>
      </c>
      <c r="H1437" s="10"/>
      <c r="I1437" s="10">
        <v>0</v>
      </c>
    </row>
    <row r="1438" spans="1:9" ht="21.75" customHeight="1">
      <c r="A1438" s="8" t="s">
        <v>37</v>
      </c>
      <c r="B1438" s="8" t="s">
        <v>40</v>
      </c>
      <c r="C1438" s="9" t="str">
        <f t="shared" si="22"/>
        <v>230098</v>
      </c>
      <c r="D1438" s="9" t="str">
        <f>"230915911"</f>
        <v>230915911</v>
      </c>
      <c r="E1438" s="10">
        <v>0</v>
      </c>
      <c r="F1438" s="10"/>
      <c r="G1438" s="10">
        <v>0</v>
      </c>
      <c r="H1438" s="10"/>
      <c r="I1438" s="10">
        <v>0</v>
      </c>
    </row>
    <row r="1439" spans="1:9" ht="21.75" customHeight="1">
      <c r="A1439" s="8" t="s">
        <v>37</v>
      </c>
      <c r="B1439" s="8" t="s">
        <v>40</v>
      </c>
      <c r="C1439" s="9" t="str">
        <f t="shared" si="22"/>
        <v>230098</v>
      </c>
      <c r="D1439" s="9" t="str">
        <f>"230915915"</f>
        <v>230915915</v>
      </c>
      <c r="E1439" s="10">
        <v>0</v>
      </c>
      <c r="F1439" s="10"/>
      <c r="G1439" s="10">
        <v>0</v>
      </c>
      <c r="H1439" s="10"/>
      <c r="I1439" s="10">
        <v>0</v>
      </c>
    </row>
    <row r="1440" spans="1:9" ht="21.75" customHeight="1">
      <c r="A1440" s="8" t="s">
        <v>37</v>
      </c>
      <c r="B1440" s="8" t="s">
        <v>40</v>
      </c>
      <c r="C1440" s="9" t="str">
        <f t="shared" si="22"/>
        <v>230098</v>
      </c>
      <c r="D1440" s="9" t="str">
        <f>"230915916"</f>
        <v>230915916</v>
      </c>
      <c r="E1440" s="10">
        <v>0</v>
      </c>
      <c r="F1440" s="10"/>
      <c r="G1440" s="10">
        <v>0</v>
      </c>
      <c r="H1440" s="10"/>
      <c r="I1440" s="10">
        <v>0</v>
      </c>
    </row>
    <row r="1441" spans="1:9" ht="21.75" customHeight="1">
      <c r="A1441" s="8" t="s">
        <v>37</v>
      </c>
      <c r="B1441" s="8" t="s">
        <v>40</v>
      </c>
      <c r="C1441" s="9" t="str">
        <f t="shared" si="22"/>
        <v>230098</v>
      </c>
      <c r="D1441" s="9" t="str">
        <f>"230915917"</f>
        <v>230915917</v>
      </c>
      <c r="E1441" s="10">
        <v>0</v>
      </c>
      <c r="F1441" s="10"/>
      <c r="G1441" s="10">
        <v>0</v>
      </c>
      <c r="H1441" s="10"/>
      <c r="I1441" s="10">
        <v>0</v>
      </c>
    </row>
    <row r="1442" spans="1:9" ht="21.75" customHeight="1">
      <c r="A1442" s="8" t="s">
        <v>37</v>
      </c>
      <c r="B1442" s="8" t="s">
        <v>40</v>
      </c>
      <c r="C1442" s="9" t="str">
        <f t="shared" si="22"/>
        <v>230098</v>
      </c>
      <c r="D1442" s="9" t="str">
        <f>"230915918"</f>
        <v>230915918</v>
      </c>
      <c r="E1442" s="10">
        <v>0</v>
      </c>
      <c r="F1442" s="10"/>
      <c r="G1442" s="10">
        <v>0</v>
      </c>
      <c r="H1442" s="10"/>
      <c r="I1442" s="10">
        <v>0</v>
      </c>
    </row>
    <row r="1443" spans="1:9" ht="21.75" customHeight="1">
      <c r="A1443" s="8" t="s">
        <v>37</v>
      </c>
      <c r="B1443" s="8" t="s">
        <v>40</v>
      </c>
      <c r="C1443" s="9" t="str">
        <f t="shared" si="22"/>
        <v>230098</v>
      </c>
      <c r="D1443" s="9" t="str">
        <f>"230915921"</f>
        <v>230915921</v>
      </c>
      <c r="E1443" s="10">
        <v>0</v>
      </c>
      <c r="F1443" s="10"/>
      <c r="G1443" s="10">
        <v>0</v>
      </c>
      <c r="H1443" s="10"/>
      <c r="I1443" s="10">
        <v>0</v>
      </c>
    </row>
    <row r="1444" spans="1:9" ht="21.75" customHeight="1">
      <c r="A1444" s="8" t="s">
        <v>37</v>
      </c>
      <c r="B1444" s="8" t="s">
        <v>40</v>
      </c>
      <c r="C1444" s="9" t="str">
        <f t="shared" si="22"/>
        <v>230098</v>
      </c>
      <c r="D1444" s="9" t="str">
        <f>"230915930"</f>
        <v>230915930</v>
      </c>
      <c r="E1444" s="10">
        <v>0</v>
      </c>
      <c r="F1444" s="10"/>
      <c r="G1444" s="10">
        <v>0</v>
      </c>
      <c r="H1444" s="10"/>
      <c r="I1444" s="10">
        <v>0</v>
      </c>
    </row>
    <row r="1445" spans="1:9" ht="21.75" customHeight="1">
      <c r="A1445" s="8" t="s">
        <v>37</v>
      </c>
      <c r="B1445" s="8" t="s">
        <v>40</v>
      </c>
      <c r="C1445" s="9" t="str">
        <f t="shared" si="22"/>
        <v>230098</v>
      </c>
      <c r="D1445" s="9" t="str">
        <f>"230916001"</f>
        <v>230916001</v>
      </c>
      <c r="E1445" s="10">
        <v>0</v>
      </c>
      <c r="F1445" s="10"/>
      <c r="G1445" s="10">
        <v>0</v>
      </c>
      <c r="H1445" s="10"/>
      <c r="I1445" s="10">
        <v>0</v>
      </c>
    </row>
    <row r="1446" spans="1:9" ht="21.75" customHeight="1">
      <c r="A1446" s="8" t="s">
        <v>37</v>
      </c>
      <c r="B1446" s="8" t="s">
        <v>40</v>
      </c>
      <c r="C1446" s="9" t="str">
        <f t="shared" si="22"/>
        <v>230098</v>
      </c>
      <c r="D1446" s="9" t="str">
        <f>"230916002"</f>
        <v>230916002</v>
      </c>
      <c r="E1446" s="10">
        <v>0</v>
      </c>
      <c r="F1446" s="10"/>
      <c r="G1446" s="10">
        <v>0</v>
      </c>
      <c r="H1446" s="10"/>
      <c r="I1446" s="10">
        <v>0</v>
      </c>
    </row>
    <row r="1447" spans="1:9" ht="21.75" customHeight="1">
      <c r="A1447" s="8" t="s">
        <v>37</v>
      </c>
      <c r="B1447" s="8" t="s">
        <v>40</v>
      </c>
      <c r="C1447" s="9" t="str">
        <f t="shared" si="22"/>
        <v>230098</v>
      </c>
      <c r="D1447" s="9" t="str">
        <f>"230916003"</f>
        <v>230916003</v>
      </c>
      <c r="E1447" s="10">
        <v>0</v>
      </c>
      <c r="F1447" s="10"/>
      <c r="G1447" s="10">
        <v>0</v>
      </c>
      <c r="H1447" s="10"/>
      <c r="I1447" s="10">
        <v>0</v>
      </c>
    </row>
    <row r="1448" spans="1:9" ht="21.75" customHeight="1">
      <c r="A1448" s="8" t="s">
        <v>37</v>
      </c>
      <c r="B1448" s="8" t="s">
        <v>40</v>
      </c>
      <c r="C1448" s="9" t="str">
        <f t="shared" si="22"/>
        <v>230098</v>
      </c>
      <c r="D1448" s="9" t="str">
        <f>"230916007"</f>
        <v>230916007</v>
      </c>
      <c r="E1448" s="10">
        <v>0</v>
      </c>
      <c r="F1448" s="10"/>
      <c r="G1448" s="10">
        <v>0</v>
      </c>
      <c r="H1448" s="10"/>
      <c r="I1448" s="10">
        <v>0</v>
      </c>
    </row>
    <row r="1449" spans="1:9" ht="21.75" customHeight="1">
      <c r="A1449" s="8" t="s">
        <v>37</v>
      </c>
      <c r="B1449" s="8" t="s">
        <v>40</v>
      </c>
      <c r="C1449" s="9" t="str">
        <f t="shared" si="22"/>
        <v>230098</v>
      </c>
      <c r="D1449" s="9" t="str">
        <f>"230916011"</f>
        <v>230916011</v>
      </c>
      <c r="E1449" s="10">
        <v>0</v>
      </c>
      <c r="F1449" s="10"/>
      <c r="G1449" s="10">
        <v>0</v>
      </c>
      <c r="H1449" s="10"/>
      <c r="I1449" s="10">
        <v>0</v>
      </c>
    </row>
    <row r="1450" spans="1:9" ht="21.75" customHeight="1">
      <c r="A1450" s="8" t="s">
        <v>37</v>
      </c>
      <c r="B1450" s="8" t="s">
        <v>40</v>
      </c>
      <c r="C1450" s="9" t="str">
        <f t="shared" si="22"/>
        <v>230098</v>
      </c>
      <c r="D1450" s="9" t="str">
        <f>"230916015"</f>
        <v>230916015</v>
      </c>
      <c r="E1450" s="10">
        <v>0</v>
      </c>
      <c r="F1450" s="10"/>
      <c r="G1450" s="10">
        <v>0</v>
      </c>
      <c r="H1450" s="10"/>
      <c r="I1450" s="10">
        <v>0</v>
      </c>
    </row>
    <row r="1451" spans="1:9" ht="21.75" customHeight="1">
      <c r="A1451" s="8" t="s">
        <v>37</v>
      </c>
      <c r="B1451" s="8" t="s">
        <v>40</v>
      </c>
      <c r="C1451" s="9" t="str">
        <f t="shared" si="22"/>
        <v>230098</v>
      </c>
      <c r="D1451" s="9" t="str">
        <f>"230916024"</f>
        <v>230916024</v>
      </c>
      <c r="E1451" s="10">
        <v>0</v>
      </c>
      <c r="F1451" s="10"/>
      <c r="G1451" s="10">
        <v>0</v>
      </c>
      <c r="H1451" s="10"/>
      <c r="I1451" s="10">
        <v>0</v>
      </c>
    </row>
    <row r="1452" spans="1:9" ht="21.75" customHeight="1">
      <c r="A1452" s="8" t="s">
        <v>37</v>
      </c>
      <c r="B1452" s="8" t="s">
        <v>40</v>
      </c>
      <c r="C1452" s="9" t="str">
        <f t="shared" si="22"/>
        <v>230098</v>
      </c>
      <c r="D1452" s="9" t="str">
        <f>"230916028"</f>
        <v>230916028</v>
      </c>
      <c r="E1452" s="10">
        <v>0</v>
      </c>
      <c r="F1452" s="10"/>
      <c r="G1452" s="10">
        <v>0</v>
      </c>
      <c r="H1452" s="10"/>
      <c r="I1452" s="10">
        <v>0</v>
      </c>
    </row>
    <row r="1453" spans="1:9" s="1" customFormat="1" ht="21.75" customHeight="1">
      <c r="A1453" s="8" t="s">
        <v>37</v>
      </c>
      <c r="B1453" s="8" t="s">
        <v>40</v>
      </c>
      <c r="C1453" s="9" t="str">
        <f t="shared" si="22"/>
        <v>230098</v>
      </c>
      <c r="D1453" s="9" t="str">
        <f>"230916030"</f>
        <v>230916030</v>
      </c>
      <c r="E1453" s="10">
        <v>0</v>
      </c>
      <c r="F1453" s="10"/>
      <c r="G1453" s="10">
        <v>0</v>
      </c>
      <c r="H1453" s="10"/>
      <c r="I1453" s="10">
        <v>0</v>
      </c>
    </row>
    <row r="1454" spans="1:9" ht="21.75" customHeight="1">
      <c r="A1454" s="8" t="s">
        <v>37</v>
      </c>
      <c r="B1454" s="8" t="s">
        <v>40</v>
      </c>
      <c r="C1454" s="9" t="str">
        <f t="shared" ref="C1454:C1461" si="23">"230098"</f>
        <v>230098</v>
      </c>
      <c r="D1454" s="9" t="str">
        <f>"230916103"</f>
        <v>230916103</v>
      </c>
      <c r="E1454" s="10">
        <v>0</v>
      </c>
      <c r="F1454" s="10"/>
      <c r="G1454" s="10">
        <v>0</v>
      </c>
      <c r="H1454" s="10"/>
      <c r="I1454" s="10">
        <v>0</v>
      </c>
    </row>
    <row r="1455" spans="1:9" s="1" customFormat="1" ht="21.75" customHeight="1">
      <c r="A1455" s="8" t="s">
        <v>37</v>
      </c>
      <c r="B1455" s="8" t="s">
        <v>40</v>
      </c>
      <c r="C1455" s="9" t="str">
        <f t="shared" si="23"/>
        <v>230098</v>
      </c>
      <c r="D1455" s="9" t="str">
        <f>"230916104"</f>
        <v>230916104</v>
      </c>
      <c r="E1455" s="10">
        <v>0</v>
      </c>
      <c r="F1455" s="10"/>
      <c r="G1455" s="10">
        <v>0</v>
      </c>
      <c r="H1455" s="10"/>
      <c r="I1455" s="10">
        <v>0</v>
      </c>
    </row>
    <row r="1456" spans="1:9" ht="21.75" customHeight="1">
      <c r="A1456" s="8" t="s">
        <v>37</v>
      </c>
      <c r="B1456" s="8" t="s">
        <v>40</v>
      </c>
      <c r="C1456" s="9" t="str">
        <f t="shared" si="23"/>
        <v>230098</v>
      </c>
      <c r="D1456" s="9" t="str">
        <f>"230916106"</f>
        <v>230916106</v>
      </c>
      <c r="E1456" s="10">
        <v>0</v>
      </c>
      <c r="F1456" s="10"/>
      <c r="G1456" s="10">
        <v>0</v>
      </c>
      <c r="H1456" s="10"/>
      <c r="I1456" s="10">
        <v>0</v>
      </c>
    </row>
    <row r="1457" spans="1:9" ht="21.75" customHeight="1">
      <c r="A1457" s="8" t="s">
        <v>37</v>
      </c>
      <c r="B1457" s="8" t="s">
        <v>40</v>
      </c>
      <c r="C1457" s="9" t="str">
        <f t="shared" si="23"/>
        <v>230098</v>
      </c>
      <c r="D1457" s="9" t="str">
        <f>"230916108"</f>
        <v>230916108</v>
      </c>
      <c r="E1457" s="10">
        <v>0</v>
      </c>
      <c r="F1457" s="10"/>
      <c r="G1457" s="10">
        <v>0</v>
      </c>
      <c r="H1457" s="10"/>
      <c r="I1457" s="10">
        <v>0</v>
      </c>
    </row>
    <row r="1458" spans="1:9" s="1" customFormat="1" ht="21.75" customHeight="1">
      <c r="A1458" s="8" t="s">
        <v>37</v>
      </c>
      <c r="B1458" s="8" t="s">
        <v>40</v>
      </c>
      <c r="C1458" s="9" t="str">
        <f t="shared" si="23"/>
        <v>230098</v>
      </c>
      <c r="D1458" s="9" t="str">
        <f>"230916112"</f>
        <v>230916112</v>
      </c>
      <c r="E1458" s="10">
        <v>0</v>
      </c>
      <c r="F1458" s="10"/>
      <c r="G1458" s="10">
        <v>0</v>
      </c>
      <c r="H1458" s="10"/>
      <c r="I1458" s="10">
        <v>0</v>
      </c>
    </row>
    <row r="1459" spans="1:9" ht="21.75" customHeight="1">
      <c r="A1459" s="8" t="s">
        <v>37</v>
      </c>
      <c r="B1459" s="8" t="s">
        <v>40</v>
      </c>
      <c r="C1459" s="9" t="str">
        <f t="shared" si="23"/>
        <v>230098</v>
      </c>
      <c r="D1459" s="9" t="str">
        <f>"230916113"</f>
        <v>230916113</v>
      </c>
      <c r="E1459" s="10">
        <v>0</v>
      </c>
      <c r="F1459" s="10"/>
      <c r="G1459" s="10">
        <v>0</v>
      </c>
      <c r="H1459" s="10"/>
      <c r="I1459" s="10">
        <v>0</v>
      </c>
    </row>
    <row r="1460" spans="1:9" ht="21.75" customHeight="1">
      <c r="A1460" s="8" t="s">
        <v>37</v>
      </c>
      <c r="B1460" s="8" t="s">
        <v>40</v>
      </c>
      <c r="C1460" s="9" t="str">
        <f t="shared" si="23"/>
        <v>230098</v>
      </c>
      <c r="D1460" s="9" t="str">
        <f>"230916117"</f>
        <v>230916117</v>
      </c>
      <c r="E1460" s="10">
        <v>0</v>
      </c>
      <c r="F1460" s="10"/>
      <c r="G1460" s="10">
        <v>0</v>
      </c>
      <c r="H1460" s="10"/>
      <c r="I1460" s="10">
        <v>0</v>
      </c>
    </row>
    <row r="1461" spans="1:9" s="1" customFormat="1" ht="21.75" customHeight="1">
      <c r="A1461" s="8" t="s">
        <v>37</v>
      </c>
      <c r="B1461" s="8" t="s">
        <v>40</v>
      </c>
      <c r="C1461" s="9" t="str">
        <f t="shared" si="23"/>
        <v>230098</v>
      </c>
      <c r="D1461" s="9" t="str">
        <f>"230916119"</f>
        <v>230916119</v>
      </c>
      <c r="E1461" s="10">
        <v>0</v>
      </c>
      <c r="F1461" s="10"/>
      <c r="G1461" s="10">
        <v>0</v>
      </c>
      <c r="H1461" s="10"/>
      <c r="I1461" s="10">
        <v>0</v>
      </c>
    </row>
    <row r="1462" spans="1:9" s="3" customFormat="1" ht="21.75" customHeight="1">
      <c r="A1462" s="8" t="s">
        <v>9</v>
      </c>
      <c r="B1462" s="8" t="s">
        <v>10</v>
      </c>
      <c r="C1462" s="9" t="str">
        <f t="shared" ref="C1462:C1493" si="24">"230099"</f>
        <v>230099</v>
      </c>
      <c r="D1462" s="9" t="str">
        <f>"230900119"</f>
        <v>230900119</v>
      </c>
      <c r="E1462" s="10">
        <v>79.760000000000005</v>
      </c>
      <c r="F1462" s="10"/>
      <c r="G1462" s="10">
        <v>77.5</v>
      </c>
      <c r="H1462" s="10"/>
      <c r="I1462" s="10">
        <v>78.400000000000006</v>
      </c>
    </row>
    <row r="1463" spans="1:9" s="2" customFormat="1" ht="21.75" customHeight="1">
      <c r="A1463" s="8" t="s">
        <v>9</v>
      </c>
      <c r="B1463" s="8" t="s">
        <v>10</v>
      </c>
      <c r="C1463" s="9" t="str">
        <f t="shared" si="24"/>
        <v>230099</v>
      </c>
      <c r="D1463" s="9" t="str">
        <f>"230900219"</f>
        <v>230900219</v>
      </c>
      <c r="E1463" s="10">
        <v>84.24</v>
      </c>
      <c r="F1463" s="10"/>
      <c r="G1463" s="10">
        <v>73</v>
      </c>
      <c r="H1463" s="10"/>
      <c r="I1463" s="10">
        <v>77.5</v>
      </c>
    </row>
    <row r="1464" spans="1:9" s="3" customFormat="1" ht="21.75" customHeight="1">
      <c r="A1464" s="8" t="s">
        <v>9</v>
      </c>
      <c r="B1464" s="8" t="s">
        <v>10</v>
      </c>
      <c r="C1464" s="9" t="str">
        <f t="shared" si="24"/>
        <v>230099</v>
      </c>
      <c r="D1464" s="9" t="str">
        <f>"230900223"</f>
        <v>230900223</v>
      </c>
      <c r="E1464" s="10">
        <v>73.989999999999995</v>
      </c>
      <c r="F1464" s="10"/>
      <c r="G1464" s="10">
        <v>77</v>
      </c>
      <c r="H1464" s="10"/>
      <c r="I1464" s="10">
        <v>75.8</v>
      </c>
    </row>
    <row r="1465" spans="1:9" s="3" customFormat="1" ht="21.75" customHeight="1">
      <c r="A1465" s="8" t="s">
        <v>9</v>
      </c>
      <c r="B1465" s="8" t="s">
        <v>10</v>
      </c>
      <c r="C1465" s="9" t="str">
        <f t="shared" si="24"/>
        <v>230099</v>
      </c>
      <c r="D1465" s="9" t="str">
        <f>"230900213"</f>
        <v>230900213</v>
      </c>
      <c r="E1465" s="10">
        <v>80.31</v>
      </c>
      <c r="F1465" s="10"/>
      <c r="G1465" s="10">
        <v>72.5</v>
      </c>
      <c r="H1465" s="10"/>
      <c r="I1465" s="10">
        <v>75.62</v>
      </c>
    </row>
    <row r="1466" spans="1:9" s="2" customFormat="1" ht="21.75" customHeight="1">
      <c r="A1466" s="8" t="s">
        <v>9</v>
      </c>
      <c r="B1466" s="8" t="s">
        <v>10</v>
      </c>
      <c r="C1466" s="9" t="str">
        <f t="shared" si="24"/>
        <v>230099</v>
      </c>
      <c r="D1466" s="9" t="str">
        <f>"230900120"</f>
        <v>230900120</v>
      </c>
      <c r="E1466" s="10">
        <v>74.14</v>
      </c>
      <c r="F1466" s="10"/>
      <c r="G1466" s="10">
        <v>76</v>
      </c>
      <c r="H1466" s="10"/>
      <c r="I1466" s="10">
        <v>75.260000000000005</v>
      </c>
    </row>
    <row r="1467" spans="1:9" s="2" customFormat="1" ht="21.75" customHeight="1">
      <c r="A1467" s="8" t="s">
        <v>9</v>
      </c>
      <c r="B1467" s="8" t="s">
        <v>10</v>
      </c>
      <c r="C1467" s="9" t="str">
        <f t="shared" si="24"/>
        <v>230099</v>
      </c>
      <c r="D1467" s="9" t="str">
        <f>"230900218"</f>
        <v>230900218</v>
      </c>
      <c r="E1467" s="10">
        <v>72.38</v>
      </c>
      <c r="F1467" s="10"/>
      <c r="G1467" s="10">
        <v>77</v>
      </c>
      <c r="H1467" s="10"/>
      <c r="I1467" s="10">
        <v>75.150000000000006</v>
      </c>
    </row>
    <row r="1468" spans="1:9" s="2" customFormat="1" ht="21.75" customHeight="1">
      <c r="A1468" s="8" t="s">
        <v>9</v>
      </c>
      <c r="B1468" s="8" t="s">
        <v>10</v>
      </c>
      <c r="C1468" s="9" t="str">
        <f t="shared" si="24"/>
        <v>230099</v>
      </c>
      <c r="D1468" s="9" t="str">
        <f>"230900201"</f>
        <v>230900201</v>
      </c>
      <c r="E1468" s="10">
        <v>74.239999999999995</v>
      </c>
      <c r="F1468" s="10"/>
      <c r="G1468" s="10">
        <v>74.5</v>
      </c>
      <c r="H1468" s="10"/>
      <c r="I1468" s="10">
        <v>74.400000000000006</v>
      </c>
    </row>
    <row r="1469" spans="1:9" s="2" customFormat="1" ht="21.75" customHeight="1">
      <c r="A1469" s="8" t="s">
        <v>9</v>
      </c>
      <c r="B1469" s="8" t="s">
        <v>10</v>
      </c>
      <c r="C1469" s="9" t="str">
        <f t="shared" si="24"/>
        <v>230099</v>
      </c>
      <c r="D1469" s="9" t="str">
        <f>"230900103"</f>
        <v>230900103</v>
      </c>
      <c r="E1469" s="10">
        <v>72.27</v>
      </c>
      <c r="F1469" s="10"/>
      <c r="G1469" s="10">
        <v>75.5</v>
      </c>
      <c r="H1469" s="10"/>
      <c r="I1469" s="10">
        <v>74.209999999999994</v>
      </c>
    </row>
    <row r="1470" spans="1:9" s="3" customFormat="1" ht="21.75" customHeight="1">
      <c r="A1470" s="8" t="s">
        <v>9</v>
      </c>
      <c r="B1470" s="8" t="s">
        <v>10</v>
      </c>
      <c r="C1470" s="9" t="str">
        <f t="shared" si="24"/>
        <v>230099</v>
      </c>
      <c r="D1470" s="9" t="str">
        <f>"230900110"</f>
        <v>230900110</v>
      </c>
      <c r="E1470" s="10">
        <v>80.319999999999993</v>
      </c>
      <c r="F1470" s="10"/>
      <c r="G1470" s="10">
        <v>70</v>
      </c>
      <c r="H1470" s="10"/>
      <c r="I1470" s="10">
        <v>74.13</v>
      </c>
    </row>
    <row r="1471" spans="1:9" s="2" customFormat="1" ht="21.75" customHeight="1">
      <c r="A1471" s="8" t="s">
        <v>9</v>
      </c>
      <c r="B1471" s="8" t="s">
        <v>10</v>
      </c>
      <c r="C1471" s="9" t="str">
        <f t="shared" si="24"/>
        <v>230099</v>
      </c>
      <c r="D1471" s="9" t="str">
        <f>"230900221"</f>
        <v>230900221</v>
      </c>
      <c r="E1471" s="10">
        <v>77.56</v>
      </c>
      <c r="F1471" s="10"/>
      <c r="G1471" s="10">
        <v>70.5</v>
      </c>
      <c r="H1471" s="10"/>
      <c r="I1471" s="10">
        <v>73.319999999999993</v>
      </c>
    </row>
    <row r="1472" spans="1:9" s="2" customFormat="1" ht="21.75" customHeight="1">
      <c r="A1472" s="8" t="s">
        <v>9</v>
      </c>
      <c r="B1472" s="8" t="s">
        <v>10</v>
      </c>
      <c r="C1472" s="9" t="str">
        <f t="shared" si="24"/>
        <v>230099</v>
      </c>
      <c r="D1472" s="9" t="str">
        <f>"230900206"</f>
        <v>230900206</v>
      </c>
      <c r="E1472" s="10">
        <v>72.73</v>
      </c>
      <c r="F1472" s="10"/>
      <c r="G1472" s="10">
        <v>73.5</v>
      </c>
      <c r="H1472" s="10"/>
      <c r="I1472" s="10">
        <v>73.19</v>
      </c>
    </row>
    <row r="1473" spans="1:9" s="3" customFormat="1" ht="21.75" customHeight="1">
      <c r="A1473" s="8" t="s">
        <v>9</v>
      </c>
      <c r="B1473" s="8" t="s">
        <v>10</v>
      </c>
      <c r="C1473" s="9" t="str">
        <f t="shared" si="24"/>
        <v>230099</v>
      </c>
      <c r="D1473" s="9" t="str">
        <f>"230900124"</f>
        <v>230900124</v>
      </c>
      <c r="E1473" s="10">
        <v>79.19</v>
      </c>
      <c r="F1473" s="10"/>
      <c r="G1473" s="10">
        <v>69</v>
      </c>
      <c r="H1473" s="10"/>
      <c r="I1473" s="10">
        <v>73.08</v>
      </c>
    </row>
    <row r="1474" spans="1:9" s="3" customFormat="1" ht="21.75" customHeight="1">
      <c r="A1474" s="8" t="s">
        <v>9</v>
      </c>
      <c r="B1474" s="8" t="s">
        <v>10</v>
      </c>
      <c r="C1474" s="9" t="str">
        <f t="shared" si="24"/>
        <v>230099</v>
      </c>
      <c r="D1474" s="9" t="str">
        <f>"230900114"</f>
        <v>230900114</v>
      </c>
      <c r="E1474" s="10">
        <v>73.650000000000006</v>
      </c>
      <c r="F1474" s="10"/>
      <c r="G1474" s="10">
        <v>72.5</v>
      </c>
      <c r="H1474" s="10"/>
      <c r="I1474" s="10">
        <v>72.959999999999994</v>
      </c>
    </row>
    <row r="1475" spans="1:9" s="3" customFormat="1" ht="21.75" customHeight="1">
      <c r="A1475" s="8" t="s">
        <v>9</v>
      </c>
      <c r="B1475" s="8" t="s">
        <v>10</v>
      </c>
      <c r="C1475" s="9" t="str">
        <f t="shared" si="24"/>
        <v>230099</v>
      </c>
      <c r="D1475" s="9" t="str">
        <f>"230900104"</f>
        <v>230900104</v>
      </c>
      <c r="E1475" s="10">
        <v>68.13</v>
      </c>
      <c r="F1475" s="10"/>
      <c r="G1475" s="10">
        <v>75</v>
      </c>
      <c r="H1475" s="10"/>
      <c r="I1475" s="10">
        <v>72.25</v>
      </c>
    </row>
    <row r="1476" spans="1:9" s="3" customFormat="1" ht="21.75" customHeight="1">
      <c r="A1476" s="8" t="s">
        <v>9</v>
      </c>
      <c r="B1476" s="8" t="s">
        <v>10</v>
      </c>
      <c r="C1476" s="9" t="str">
        <f t="shared" si="24"/>
        <v>230099</v>
      </c>
      <c r="D1476" s="9" t="str">
        <f>"230900209"</f>
        <v>230900209</v>
      </c>
      <c r="E1476" s="10">
        <v>69.06</v>
      </c>
      <c r="F1476" s="10"/>
      <c r="G1476" s="10">
        <v>74</v>
      </c>
      <c r="H1476" s="10"/>
      <c r="I1476" s="10">
        <v>72.02</v>
      </c>
    </row>
    <row r="1477" spans="1:9" s="3" customFormat="1" ht="21.75" customHeight="1">
      <c r="A1477" s="8" t="s">
        <v>9</v>
      </c>
      <c r="B1477" s="8" t="s">
        <v>10</v>
      </c>
      <c r="C1477" s="9" t="str">
        <f t="shared" si="24"/>
        <v>230099</v>
      </c>
      <c r="D1477" s="9" t="str">
        <f>"230900202"</f>
        <v>230900202</v>
      </c>
      <c r="E1477" s="10">
        <v>72.03</v>
      </c>
      <c r="F1477" s="10"/>
      <c r="G1477" s="10">
        <v>72</v>
      </c>
      <c r="H1477" s="10"/>
      <c r="I1477" s="10">
        <v>72.010000000000005</v>
      </c>
    </row>
    <row r="1478" spans="1:9" s="3" customFormat="1" ht="21.75" customHeight="1">
      <c r="A1478" s="8" t="s">
        <v>9</v>
      </c>
      <c r="B1478" s="8" t="s">
        <v>10</v>
      </c>
      <c r="C1478" s="9" t="str">
        <f t="shared" si="24"/>
        <v>230099</v>
      </c>
      <c r="D1478" s="9" t="str">
        <f>"230900129"</f>
        <v>230900129</v>
      </c>
      <c r="E1478" s="10">
        <v>78.13</v>
      </c>
      <c r="F1478" s="10"/>
      <c r="G1478" s="10">
        <v>67.5</v>
      </c>
      <c r="H1478" s="10"/>
      <c r="I1478" s="10">
        <v>71.75</v>
      </c>
    </row>
    <row r="1479" spans="1:9" s="2" customFormat="1" ht="21.75" customHeight="1">
      <c r="A1479" s="8" t="s">
        <v>9</v>
      </c>
      <c r="B1479" s="8" t="s">
        <v>10</v>
      </c>
      <c r="C1479" s="9" t="str">
        <f t="shared" si="24"/>
        <v>230099</v>
      </c>
      <c r="D1479" s="9" t="str">
        <f>"230900118"</f>
        <v>230900118</v>
      </c>
      <c r="E1479" s="10">
        <v>68.709999999999994</v>
      </c>
      <c r="F1479" s="10"/>
      <c r="G1479" s="10">
        <v>73.5</v>
      </c>
      <c r="H1479" s="10"/>
      <c r="I1479" s="10">
        <v>71.58</v>
      </c>
    </row>
    <row r="1480" spans="1:9" s="3" customFormat="1" ht="21.75" customHeight="1">
      <c r="A1480" s="8" t="s">
        <v>9</v>
      </c>
      <c r="B1480" s="8" t="s">
        <v>10</v>
      </c>
      <c r="C1480" s="9" t="str">
        <f t="shared" si="24"/>
        <v>230099</v>
      </c>
      <c r="D1480" s="9" t="str">
        <f>"230900215"</f>
        <v>230900215</v>
      </c>
      <c r="E1480" s="10">
        <v>63.31</v>
      </c>
      <c r="F1480" s="10"/>
      <c r="G1480" s="10">
        <v>76.5</v>
      </c>
      <c r="H1480" s="10"/>
      <c r="I1480" s="10">
        <v>71.22</v>
      </c>
    </row>
    <row r="1481" spans="1:9" s="3" customFormat="1" ht="21.75" customHeight="1">
      <c r="A1481" s="8" t="s">
        <v>9</v>
      </c>
      <c r="B1481" s="8" t="s">
        <v>10</v>
      </c>
      <c r="C1481" s="9" t="str">
        <f t="shared" si="24"/>
        <v>230099</v>
      </c>
      <c r="D1481" s="9" t="str">
        <f>"230900122"</f>
        <v>230900122</v>
      </c>
      <c r="E1481" s="10">
        <v>69.5</v>
      </c>
      <c r="F1481" s="10"/>
      <c r="G1481" s="10">
        <v>72</v>
      </c>
      <c r="H1481" s="10"/>
      <c r="I1481" s="10">
        <v>71</v>
      </c>
    </row>
    <row r="1482" spans="1:9" s="2" customFormat="1" ht="21.75" customHeight="1">
      <c r="A1482" s="8" t="s">
        <v>9</v>
      </c>
      <c r="B1482" s="8" t="s">
        <v>10</v>
      </c>
      <c r="C1482" s="9" t="str">
        <f t="shared" si="24"/>
        <v>230099</v>
      </c>
      <c r="D1482" s="9" t="str">
        <f>"230900204"</f>
        <v>230900204</v>
      </c>
      <c r="E1482" s="10">
        <v>71.59</v>
      </c>
      <c r="F1482" s="10"/>
      <c r="G1482" s="10">
        <v>70</v>
      </c>
      <c r="H1482" s="10"/>
      <c r="I1482" s="10">
        <v>70.64</v>
      </c>
    </row>
    <row r="1483" spans="1:9" s="3" customFormat="1" ht="21.75" customHeight="1">
      <c r="A1483" s="8" t="s">
        <v>9</v>
      </c>
      <c r="B1483" s="8" t="s">
        <v>10</v>
      </c>
      <c r="C1483" s="9" t="str">
        <f t="shared" si="24"/>
        <v>230099</v>
      </c>
      <c r="D1483" s="9" t="str">
        <f>"230900210"</f>
        <v>230900210</v>
      </c>
      <c r="E1483" s="10">
        <v>63.29</v>
      </c>
      <c r="F1483" s="10"/>
      <c r="G1483" s="10">
        <v>75.5</v>
      </c>
      <c r="H1483" s="10"/>
      <c r="I1483" s="10">
        <v>70.62</v>
      </c>
    </row>
    <row r="1484" spans="1:9" s="2" customFormat="1" ht="21.75" customHeight="1">
      <c r="A1484" s="8" t="s">
        <v>9</v>
      </c>
      <c r="B1484" s="8" t="s">
        <v>10</v>
      </c>
      <c r="C1484" s="9" t="str">
        <f t="shared" si="24"/>
        <v>230099</v>
      </c>
      <c r="D1484" s="9" t="str">
        <f>"230900101"</f>
        <v>230900101</v>
      </c>
      <c r="E1484" s="10">
        <v>70.19</v>
      </c>
      <c r="F1484" s="10"/>
      <c r="G1484" s="10">
        <v>69.5</v>
      </c>
      <c r="H1484" s="10"/>
      <c r="I1484" s="10">
        <v>69.78</v>
      </c>
    </row>
    <row r="1485" spans="1:9" s="2" customFormat="1" ht="21.75" customHeight="1">
      <c r="A1485" s="8" t="s">
        <v>9</v>
      </c>
      <c r="B1485" s="8" t="s">
        <v>10</v>
      </c>
      <c r="C1485" s="9" t="str">
        <f t="shared" si="24"/>
        <v>230099</v>
      </c>
      <c r="D1485" s="9" t="str">
        <f>"230900128"</f>
        <v>230900128</v>
      </c>
      <c r="E1485" s="10">
        <v>70.89</v>
      </c>
      <c r="F1485" s="10"/>
      <c r="G1485" s="10">
        <v>69</v>
      </c>
      <c r="H1485" s="10"/>
      <c r="I1485" s="10">
        <v>69.760000000000005</v>
      </c>
    </row>
    <row r="1486" spans="1:9" s="3" customFormat="1" ht="21.75" customHeight="1">
      <c r="A1486" s="8" t="s">
        <v>9</v>
      </c>
      <c r="B1486" s="8" t="s">
        <v>10</v>
      </c>
      <c r="C1486" s="9" t="str">
        <f t="shared" si="24"/>
        <v>230099</v>
      </c>
      <c r="D1486" s="9" t="str">
        <f>"230900205"</f>
        <v>230900205</v>
      </c>
      <c r="E1486" s="10">
        <v>69.959999999999994</v>
      </c>
      <c r="F1486" s="10"/>
      <c r="G1486" s="10">
        <v>68.5</v>
      </c>
      <c r="H1486" s="10"/>
      <c r="I1486" s="10">
        <v>69.08</v>
      </c>
    </row>
    <row r="1487" spans="1:9" s="3" customFormat="1" ht="21.75" customHeight="1">
      <c r="A1487" s="8" t="s">
        <v>9</v>
      </c>
      <c r="B1487" s="8" t="s">
        <v>10</v>
      </c>
      <c r="C1487" s="9" t="str">
        <f t="shared" si="24"/>
        <v>230099</v>
      </c>
      <c r="D1487" s="9" t="str">
        <f>"230900116"</f>
        <v>230900116</v>
      </c>
      <c r="E1487" s="10">
        <v>71.13</v>
      </c>
      <c r="F1487" s="10"/>
      <c r="G1487" s="10">
        <v>67.5</v>
      </c>
      <c r="H1487" s="10"/>
      <c r="I1487" s="10">
        <v>68.95</v>
      </c>
    </row>
    <row r="1488" spans="1:9" s="3" customFormat="1" ht="21.75" customHeight="1">
      <c r="A1488" s="8" t="s">
        <v>9</v>
      </c>
      <c r="B1488" s="8" t="s">
        <v>10</v>
      </c>
      <c r="C1488" s="9" t="str">
        <f t="shared" si="24"/>
        <v>230099</v>
      </c>
      <c r="D1488" s="9" t="str">
        <f>"230900130"</f>
        <v>230900130</v>
      </c>
      <c r="E1488" s="10">
        <v>61.82</v>
      </c>
      <c r="F1488" s="10"/>
      <c r="G1488" s="10">
        <v>72.5</v>
      </c>
      <c r="H1488" s="10"/>
      <c r="I1488" s="10">
        <v>68.23</v>
      </c>
    </row>
    <row r="1489" spans="1:9" s="2" customFormat="1" ht="21.75" customHeight="1">
      <c r="A1489" s="8" t="s">
        <v>9</v>
      </c>
      <c r="B1489" s="8" t="s">
        <v>10</v>
      </c>
      <c r="C1489" s="9" t="str">
        <f t="shared" si="24"/>
        <v>230099</v>
      </c>
      <c r="D1489" s="9" t="str">
        <f>"230900105"</f>
        <v>230900105</v>
      </c>
      <c r="E1489" s="10">
        <v>64.709999999999994</v>
      </c>
      <c r="F1489" s="10"/>
      <c r="G1489" s="10">
        <v>70.5</v>
      </c>
      <c r="H1489" s="10"/>
      <c r="I1489" s="10">
        <v>68.180000000000007</v>
      </c>
    </row>
    <row r="1490" spans="1:9" s="2" customFormat="1" ht="21.75" customHeight="1">
      <c r="A1490" s="8" t="s">
        <v>9</v>
      </c>
      <c r="B1490" s="8" t="s">
        <v>10</v>
      </c>
      <c r="C1490" s="9" t="str">
        <f t="shared" si="24"/>
        <v>230099</v>
      </c>
      <c r="D1490" s="9" t="str">
        <f>"230900126"</f>
        <v>230900126</v>
      </c>
      <c r="E1490" s="10">
        <v>61.79</v>
      </c>
      <c r="F1490" s="10"/>
      <c r="G1490" s="10">
        <v>72</v>
      </c>
      <c r="H1490" s="10"/>
      <c r="I1490" s="10">
        <v>67.92</v>
      </c>
    </row>
    <row r="1491" spans="1:9" s="3" customFormat="1" ht="21.75" customHeight="1">
      <c r="A1491" s="8" t="s">
        <v>9</v>
      </c>
      <c r="B1491" s="8" t="s">
        <v>10</v>
      </c>
      <c r="C1491" s="9" t="str">
        <f t="shared" si="24"/>
        <v>230099</v>
      </c>
      <c r="D1491" s="9" t="str">
        <f>"230900109"</f>
        <v>230900109</v>
      </c>
      <c r="E1491" s="10">
        <v>65.38</v>
      </c>
      <c r="F1491" s="10"/>
      <c r="G1491" s="10">
        <v>68</v>
      </c>
      <c r="H1491" s="10"/>
      <c r="I1491" s="10">
        <v>66.95</v>
      </c>
    </row>
    <row r="1492" spans="1:9" s="2" customFormat="1" ht="21.75" customHeight="1">
      <c r="A1492" s="8" t="s">
        <v>9</v>
      </c>
      <c r="B1492" s="8" t="s">
        <v>10</v>
      </c>
      <c r="C1492" s="9" t="str">
        <f t="shared" si="24"/>
        <v>230099</v>
      </c>
      <c r="D1492" s="9" t="str">
        <f>"230900214"</f>
        <v>230900214</v>
      </c>
      <c r="E1492" s="10">
        <v>66.64</v>
      </c>
      <c r="F1492" s="10"/>
      <c r="G1492" s="10">
        <v>67</v>
      </c>
      <c r="H1492" s="10"/>
      <c r="I1492" s="10">
        <v>66.86</v>
      </c>
    </row>
    <row r="1493" spans="1:9" s="2" customFormat="1" ht="21.75" customHeight="1">
      <c r="A1493" s="8" t="s">
        <v>9</v>
      </c>
      <c r="B1493" s="8" t="s">
        <v>10</v>
      </c>
      <c r="C1493" s="9" t="str">
        <f t="shared" si="24"/>
        <v>230099</v>
      </c>
      <c r="D1493" s="9" t="str">
        <f>"230900108"</f>
        <v>230900108</v>
      </c>
      <c r="E1493" s="10">
        <v>66.989999999999995</v>
      </c>
      <c r="F1493" s="10"/>
      <c r="G1493" s="10">
        <v>66.5</v>
      </c>
      <c r="H1493" s="10"/>
      <c r="I1493" s="10">
        <v>66.7</v>
      </c>
    </row>
    <row r="1494" spans="1:9" s="2" customFormat="1" ht="21.75" customHeight="1">
      <c r="A1494" s="8" t="s">
        <v>9</v>
      </c>
      <c r="B1494" s="8" t="s">
        <v>10</v>
      </c>
      <c r="C1494" s="9" t="str">
        <f t="shared" ref="C1494:C1515" si="25">"230099"</f>
        <v>230099</v>
      </c>
      <c r="D1494" s="9" t="str">
        <f>"230900121"</f>
        <v>230900121</v>
      </c>
      <c r="E1494" s="10">
        <v>62.84</v>
      </c>
      <c r="F1494" s="10"/>
      <c r="G1494" s="10">
        <v>69</v>
      </c>
      <c r="H1494" s="10"/>
      <c r="I1494" s="10">
        <v>66.540000000000006</v>
      </c>
    </row>
    <row r="1495" spans="1:9" s="2" customFormat="1" ht="21.75" customHeight="1">
      <c r="A1495" s="8" t="s">
        <v>9</v>
      </c>
      <c r="B1495" s="8" t="s">
        <v>10</v>
      </c>
      <c r="C1495" s="9" t="str">
        <f t="shared" si="25"/>
        <v>230099</v>
      </c>
      <c r="D1495" s="9" t="str">
        <f>"230900106"</f>
        <v>230900106</v>
      </c>
      <c r="E1495" s="10">
        <v>64.900000000000006</v>
      </c>
      <c r="F1495" s="10"/>
      <c r="G1495" s="10">
        <v>67</v>
      </c>
      <c r="H1495" s="10"/>
      <c r="I1495" s="10">
        <v>66.16</v>
      </c>
    </row>
    <row r="1496" spans="1:9" s="2" customFormat="1" ht="21.75" customHeight="1">
      <c r="A1496" s="8" t="s">
        <v>9</v>
      </c>
      <c r="B1496" s="8" t="s">
        <v>10</v>
      </c>
      <c r="C1496" s="9" t="str">
        <f t="shared" si="25"/>
        <v>230099</v>
      </c>
      <c r="D1496" s="9" t="str">
        <f>"230900217"</f>
        <v>230900217</v>
      </c>
      <c r="E1496" s="10">
        <v>68.94</v>
      </c>
      <c r="F1496" s="10"/>
      <c r="G1496" s="10">
        <v>64</v>
      </c>
      <c r="H1496" s="10"/>
      <c r="I1496" s="10">
        <v>65.98</v>
      </c>
    </row>
    <row r="1497" spans="1:9" s="3" customFormat="1" ht="21.75" customHeight="1">
      <c r="A1497" s="8" t="s">
        <v>9</v>
      </c>
      <c r="B1497" s="8" t="s">
        <v>10</v>
      </c>
      <c r="C1497" s="9" t="str">
        <f t="shared" si="25"/>
        <v>230099</v>
      </c>
      <c r="D1497" s="9" t="str">
        <f>"230900208"</f>
        <v>230900208</v>
      </c>
      <c r="E1497" s="10">
        <v>71.459999999999994</v>
      </c>
      <c r="F1497" s="10"/>
      <c r="G1497" s="10">
        <v>62</v>
      </c>
      <c r="H1497" s="10"/>
      <c r="I1497" s="10">
        <v>65.78</v>
      </c>
    </row>
    <row r="1498" spans="1:9" s="2" customFormat="1" ht="21.75" customHeight="1">
      <c r="A1498" s="8" t="s">
        <v>9</v>
      </c>
      <c r="B1498" s="8" t="s">
        <v>10</v>
      </c>
      <c r="C1498" s="9" t="str">
        <f t="shared" si="25"/>
        <v>230099</v>
      </c>
      <c r="D1498" s="9" t="str">
        <f>"230900222"</f>
        <v>230900222</v>
      </c>
      <c r="E1498" s="10">
        <v>64.22</v>
      </c>
      <c r="F1498" s="10"/>
      <c r="G1498" s="10">
        <v>66</v>
      </c>
      <c r="H1498" s="10"/>
      <c r="I1498" s="10">
        <v>65.290000000000006</v>
      </c>
    </row>
    <row r="1499" spans="1:9" s="3" customFormat="1" ht="21.75" customHeight="1">
      <c r="A1499" s="8" t="s">
        <v>9</v>
      </c>
      <c r="B1499" s="8" t="s">
        <v>10</v>
      </c>
      <c r="C1499" s="9" t="str">
        <f t="shared" si="25"/>
        <v>230099</v>
      </c>
      <c r="D1499" s="9" t="str">
        <f>"230900207"</f>
        <v>230900207</v>
      </c>
      <c r="E1499" s="10">
        <v>62.15</v>
      </c>
      <c r="F1499" s="10"/>
      <c r="G1499" s="10">
        <v>65.5</v>
      </c>
      <c r="H1499" s="10"/>
      <c r="I1499" s="10">
        <v>64.16</v>
      </c>
    </row>
    <row r="1500" spans="1:9" s="2" customFormat="1" ht="21.75" customHeight="1">
      <c r="A1500" s="8" t="s">
        <v>9</v>
      </c>
      <c r="B1500" s="8" t="s">
        <v>10</v>
      </c>
      <c r="C1500" s="9" t="str">
        <f t="shared" si="25"/>
        <v>230099</v>
      </c>
      <c r="D1500" s="9" t="str">
        <f>"230900123"</f>
        <v>230900123</v>
      </c>
      <c r="E1500" s="10">
        <v>57.32</v>
      </c>
      <c r="F1500" s="10"/>
      <c r="G1500" s="10">
        <v>55</v>
      </c>
      <c r="H1500" s="10"/>
      <c r="I1500" s="10">
        <v>55.93</v>
      </c>
    </row>
    <row r="1501" spans="1:9" s="2" customFormat="1" ht="21.75" customHeight="1">
      <c r="A1501" s="8" t="s">
        <v>9</v>
      </c>
      <c r="B1501" s="8" t="s">
        <v>10</v>
      </c>
      <c r="C1501" s="9" t="str">
        <f t="shared" si="25"/>
        <v>230099</v>
      </c>
      <c r="D1501" s="9" t="str">
        <f>"230900203"</f>
        <v>230900203</v>
      </c>
      <c r="E1501" s="10">
        <v>44.16</v>
      </c>
      <c r="F1501" s="10"/>
      <c r="G1501" s="10">
        <v>62</v>
      </c>
      <c r="H1501" s="10"/>
      <c r="I1501" s="10">
        <v>54.86</v>
      </c>
    </row>
    <row r="1502" spans="1:9" s="2" customFormat="1" ht="21.75" customHeight="1">
      <c r="A1502" s="8" t="s">
        <v>9</v>
      </c>
      <c r="B1502" s="8" t="s">
        <v>10</v>
      </c>
      <c r="C1502" s="9" t="str">
        <f t="shared" si="25"/>
        <v>230099</v>
      </c>
      <c r="D1502" s="9" t="str">
        <f>"230900102"</f>
        <v>230900102</v>
      </c>
      <c r="E1502" s="10">
        <v>0</v>
      </c>
      <c r="F1502" s="10"/>
      <c r="G1502" s="10">
        <v>0</v>
      </c>
      <c r="H1502" s="10"/>
      <c r="I1502" s="10">
        <v>0</v>
      </c>
    </row>
    <row r="1503" spans="1:9" s="3" customFormat="1" ht="21.75" customHeight="1">
      <c r="A1503" s="8" t="s">
        <v>9</v>
      </c>
      <c r="B1503" s="8" t="s">
        <v>10</v>
      </c>
      <c r="C1503" s="9" t="str">
        <f t="shared" si="25"/>
        <v>230099</v>
      </c>
      <c r="D1503" s="9" t="str">
        <f>"230900107"</f>
        <v>230900107</v>
      </c>
      <c r="E1503" s="10">
        <v>0</v>
      </c>
      <c r="F1503" s="10"/>
      <c r="G1503" s="10">
        <v>0</v>
      </c>
      <c r="H1503" s="10"/>
      <c r="I1503" s="10">
        <v>0</v>
      </c>
    </row>
    <row r="1504" spans="1:9" s="2" customFormat="1" ht="21.75" customHeight="1">
      <c r="A1504" s="8" t="s">
        <v>9</v>
      </c>
      <c r="B1504" s="8" t="s">
        <v>10</v>
      </c>
      <c r="C1504" s="9" t="str">
        <f t="shared" si="25"/>
        <v>230099</v>
      </c>
      <c r="D1504" s="9" t="str">
        <f>"230900111"</f>
        <v>230900111</v>
      </c>
      <c r="E1504" s="10">
        <v>0</v>
      </c>
      <c r="F1504" s="10"/>
      <c r="G1504" s="10">
        <v>0</v>
      </c>
      <c r="H1504" s="10"/>
      <c r="I1504" s="10">
        <v>0</v>
      </c>
    </row>
    <row r="1505" spans="1:9" s="2" customFormat="1" ht="21.75" customHeight="1">
      <c r="A1505" s="8" t="s">
        <v>9</v>
      </c>
      <c r="B1505" s="8" t="s">
        <v>10</v>
      </c>
      <c r="C1505" s="9" t="str">
        <f t="shared" si="25"/>
        <v>230099</v>
      </c>
      <c r="D1505" s="9" t="str">
        <f>"230900112"</f>
        <v>230900112</v>
      </c>
      <c r="E1505" s="10">
        <v>0</v>
      </c>
      <c r="F1505" s="10"/>
      <c r="G1505" s="10">
        <v>0</v>
      </c>
      <c r="H1505" s="10"/>
      <c r="I1505" s="10">
        <v>0</v>
      </c>
    </row>
    <row r="1506" spans="1:9" s="3" customFormat="1" ht="21.75" customHeight="1">
      <c r="A1506" s="8" t="s">
        <v>9</v>
      </c>
      <c r="B1506" s="8" t="s">
        <v>10</v>
      </c>
      <c r="C1506" s="9" t="str">
        <f t="shared" si="25"/>
        <v>230099</v>
      </c>
      <c r="D1506" s="9" t="str">
        <f>"230900113"</f>
        <v>230900113</v>
      </c>
      <c r="E1506" s="10">
        <v>0</v>
      </c>
      <c r="F1506" s="10"/>
      <c r="G1506" s="10">
        <v>0</v>
      </c>
      <c r="H1506" s="10"/>
      <c r="I1506" s="10">
        <v>0</v>
      </c>
    </row>
    <row r="1507" spans="1:9" s="2" customFormat="1" ht="21.75" customHeight="1">
      <c r="A1507" s="8" t="s">
        <v>9</v>
      </c>
      <c r="B1507" s="8" t="s">
        <v>10</v>
      </c>
      <c r="C1507" s="9" t="str">
        <f t="shared" si="25"/>
        <v>230099</v>
      </c>
      <c r="D1507" s="9" t="str">
        <f>"230900115"</f>
        <v>230900115</v>
      </c>
      <c r="E1507" s="10">
        <v>0</v>
      </c>
      <c r="F1507" s="10"/>
      <c r="G1507" s="10">
        <v>0</v>
      </c>
      <c r="H1507" s="10"/>
      <c r="I1507" s="10">
        <v>0</v>
      </c>
    </row>
    <row r="1508" spans="1:9" s="3" customFormat="1" ht="21.75" customHeight="1">
      <c r="A1508" s="8" t="s">
        <v>9</v>
      </c>
      <c r="B1508" s="8" t="s">
        <v>10</v>
      </c>
      <c r="C1508" s="9" t="str">
        <f t="shared" si="25"/>
        <v>230099</v>
      </c>
      <c r="D1508" s="9" t="str">
        <f>"230900117"</f>
        <v>230900117</v>
      </c>
      <c r="E1508" s="10">
        <v>0</v>
      </c>
      <c r="F1508" s="10"/>
      <c r="G1508" s="10">
        <v>0</v>
      </c>
      <c r="H1508" s="10"/>
      <c r="I1508" s="10">
        <v>0</v>
      </c>
    </row>
    <row r="1509" spans="1:9" s="3" customFormat="1" ht="21.75" customHeight="1">
      <c r="A1509" s="8" t="s">
        <v>9</v>
      </c>
      <c r="B1509" s="8" t="s">
        <v>10</v>
      </c>
      <c r="C1509" s="9" t="str">
        <f t="shared" si="25"/>
        <v>230099</v>
      </c>
      <c r="D1509" s="9" t="str">
        <f>"230900125"</f>
        <v>230900125</v>
      </c>
      <c r="E1509" s="10">
        <v>0</v>
      </c>
      <c r="F1509" s="10"/>
      <c r="G1509" s="10">
        <v>0</v>
      </c>
      <c r="H1509" s="10"/>
      <c r="I1509" s="10">
        <v>0</v>
      </c>
    </row>
    <row r="1510" spans="1:9" s="2" customFormat="1" ht="21.75" customHeight="1">
      <c r="A1510" s="8" t="s">
        <v>9</v>
      </c>
      <c r="B1510" s="8" t="s">
        <v>10</v>
      </c>
      <c r="C1510" s="9" t="str">
        <f t="shared" si="25"/>
        <v>230099</v>
      </c>
      <c r="D1510" s="9" t="str">
        <f>"230900127"</f>
        <v>230900127</v>
      </c>
      <c r="E1510" s="10">
        <v>0</v>
      </c>
      <c r="F1510" s="10"/>
      <c r="G1510" s="10">
        <v>0</v>
      </c>
      <c r="H1510" s="10"/>
      <c r="I1510" s="10">
        <v>0</v>
      </c>
    </row>
    <row r="1511" spans="1:9" s="3" customFormat="1" ht="21.75" customHeight="1">
      <c r="A1511" s="8" t="s">
        <v>9</v>
      </c>
      <c r="B1511" s="8" t="s">
        <v>10</v>
      </c>
      <c r="C1511" s="9" t="str">
        <f t="shared" si="25"/>
        <v>230099</v>
      </c>
      <c r="D1511" s="9" t="str">
        <f>"230900211"</f>
        <v>230900211</v>
      </c>
      <c r="E1511" s="10">
        <v>0</v>
      </c>
      <c r="F1511" s="10"/>
      <c r="G1511" s="10">
        <v>0</v>
      </c>
      <c r="H1511" s="10"/>
      <c r="I1511" s="10">
        <v>0</v>
      </c>
    </row>
    <row r="1512" spans="1:9" s="2" customFormat="1" ht="21.75" customHeight="1">
      <c r="A1512" s="8" t="s">
        <v>9</v>
      </c>
      <c r="B1512" s="8" t="s">
        <v>10</v>
      </c>
      <c r="C1512" s="9" t="str">
        <f t="shared" si="25"/>
        <v>230099</v>
      </c>
      <c r="D1512" s="9" t="str">
        <f>"230900212"</f>
        <v>230900212</v>
      </c>
      <c r="E1512" s="10">
        <v>0</v>
      </c>
      <c r="F1512" s="10"/>
      <c r="G1512" s="10">
        <v>0</v>
      </c>
      <c r="H1512" s="10"/>
      <c r="I1512" s="10">
        <v>0</v>
      </c>
    </row>
    <row r="1513" spans="1:9" s="3" customFormat="1" ht="21.75" customHeight="1">
      <c r="A1513" s="8" t="s">
        <v>9</v>
      </c>
      <c r="B1513" s="8" t="s">
        <v>10</v>
      </c>
      <c r="C1513" s="9" t="str">
        <f t="shared" si="25"/>
        <v>230099</v>
      </c>
      <c r="D1513" s="9" t="str">
        <f>"230900216"</f>
        <v>230900216</v>
      </c>
      <c r="E1513" s="10">
        <v>0</v>
      </c>
      <c r="F1513" s="10"/>
      <c r="G1513" s="10">
        <v>0</v>
      </c>
      <c r="H1513" s="10"/>
      <c r="I1513" s="10">
        <v>0</v>
      </c>
    </row>
    <row r="1514" spans="1:9" s="2" customFormat="1" ht="21.75" customHeight="1">
      <c r="A1514" s="8" t="s">
        <v>9</v>
      </c>
      <c r="B1514" s="8" t="s">
        <v>10</v>
      </c>
      <c r="C1514" s="9" t="str">
        <f t="shared" si="25"/>
        <v>230099</v>
      </c>
      <c r="D1514" s="9" t="str">
        <f>"230900220"</f>
        <v>230900220</v>
      </c>
      <c r="E1514" s="10">
        <v>0</v>
      </c>
      <c r="F1514" s="10"/>
      <c r="G1514" s="10">
        <v>0</v>
      </c>
      <c r="H1514" s="10"/>
      <c r="I1514" s="10">
        <v>0</v>
      </c>
    </row>
    <row r="1515" spans="1:9" s="3" customFormat="1" ht="21.75" customHeight="1">
      <c r="A1515" s="8" t="s">
        <v>9</v>
      </c>
      <c r="B1515" s="8" t="s">
        <v>10</v>
      </c>
      <c r="C1515" s="9" t="str">
        <f t="shared" si="25"/>
        <v>230099</v>
      </c>
      <c r="D1515" s="9" t="str">
        <f>"230900224"</f>
        <v>230900224</v>
      </c>
      <c r="E1515" s="10">
        <v>0</v>
      </c>
      <c r="F1515" s="10"/>
      <c r="G1515" s="10">
        <v>0</v>
      </c>
      <c r="H1515" s="10"/>
      <c r="I1515" s="10">
        <v>0</v>
      </c>
    </row>
    <row r="1516" spans="1:9" ht="21.75" customHeight="1">
      <c r="A1516" s="8" t="s">
        <v>33</v>
      </c>
      <c r="B1516" s="8" t="s">
        <v>43</v>
      </c>
      <c r="C1516" s="9" t="str">
        <f>"230101"</f>
        <v>230101</v>
      </c>
      <c r="D1516" s="9" t="str">
        <f>"230916717"</f>
        <v>230916717</v>
      </c>
      <c r="E1516" s="10">
        <v>86</v>
      </c>
      <c r="F1516" s="10"/>
      <c r="G1516" s="10">
        <v>91.3</v>
      </c>
      <c r="H1516" s="10"/>
      <c r="I1516" s="10">
        <v>89.18</v>
      </c>
    </row>
    <row r="1517" spans="1:9" ht="21.75" customHeight="1">
      <c r="A1517" s="8" t="s">
        <v>33</v>
      </c>
      <c r="B1517" s="8" t="s">
        <v>43</v>
      </c>
      <c r="C1517" s="9" t="str">
        <f>"230101"</f>
        <v>230101</v>
      </c>
      <c r="D1517" s="9" t="str">
        <f>"230916716"</f>
        <v>230916716</v>
      </c>
      <c r="E1517" s="10">
        <v>80.760000000000005</v>
      </c>
      <c r="F1517" s="10"/>
      <c r="G1517" s="10">
        <v>85.82</v>
      </c>
      <c r="H1517" s="10"/>
      <c r="I1517" s="10">
        <v>83.8</v>
      </c>
    </row>
    <row r="1518" spans="1:9" s="1" customFormat="1" ht="21.75" customHeight="1">
      <c r="A1518" s="8" t="s">
        <v>33</v>
      </c>
      <c r="B1518" s="8" t="s">
        <v>43</v>
      </c>
      <c r="C1518" s="9" t="str">
        <f>"230101"</f>
        <v>230101</v>
      </c>
      <c r="D1518" s="9" t="str">
        <f>"230916718"</f>
        <v>230916718</v>
      </c>
      <c r="E1518" s="10">
        <v>84.12</v>
      </c>
      <c r="F1518" s="10"/>
      <c r="G1518" s="10">
        <v>82.05</v>
      </c>
      <c r="H1518" s="10"/>
      <c r="I1518" s="10">
        <v>82.88</v>
      </c>
    </row>
    <row r="1519" spans="1:9" ht="21.75" customHeight="1">
      <c r="A1519" s="8" t="s">
        <v>33</v>
      </c>
      <c r="B1519" s="8" t="s">
        <v>43</v>
      </c>
      <c r="C1519" s="9" t="str">
        <f>"230101"</f>
        <v>230101</v>
      </c>
      <c r="D1519" s="9" t="str">
        <f>"230916719"</f>
        <v>230916719</v>
      </c>
      <c r="E1519" s="10">
        <v>83.24</v>
      </c>
      <c r="F1519" s="10"/>
      <c r="G1519" s="10">
        <v>81.680000000000007</v>
      </c>
      <c r="H1519" s="10"/>
      <c r="I1519" s="10">
        <v>82.3</v>
      </c>
    </row>
    <row r="1520" spans="1:9" ht="21.75" customHeight="1">
      <c r="A1520" s="8" t="s">
        <v>33</v>
      </c>
      <c r="B1520" s="8" t="s">
        <v>43</v>
      </c>
      <c r="C1520" s="9" t="str">
        <f>"230101"</f>
        <v>230101</v>
      </c>
      <c r="D1520" s="9" t="str">
        <f>"230916715"</f>
        <v>230916715</v>
      </c>
      <c r="E1520" s="10">
        <v>78.92</v>
      </c>
      <c r="F1520" s="10"/>
      <c r="G1520" s="10">
        <v>84.23</v>
      </c>
      <c r="H1520" s="10"/>
      <c r="I1520" s="10">
        <v>82.11</v>
      </c>
    </row>
    <row r="1521" spans="1:9" s="2" customFormat="1" ht="21.75" customHeight="1">
      <c r="A1521" s="8" t="s">
        <v>33</v>
      </c>
      <c r="B1521" s="8" t="s">
        <v>32</v>
      </c>
      <c r="C1521" s="9" t="str">
        <f t="shared" ref="C1521:C1526" si="26">"230102"</f>
        <v>230102</v>
      </c>
      <c r="D1521" s="9" t="str">
        <f>"230916802"</f>
        <v>230916802</v>
      </c>
      <c r="E1521" s="10">
        <v>76.400000000000006</v>
      </c>
      <c r="F1521" s="10"/>
      <c r="G1521" s="10">
        <v>81.02</v>
      </c>
      <c r="H1521" s="10"/>
      <c r="I1521" s="10">
        <v>79.17</v>
      </c>
    </row>
    <row r="1522" spans="1:9" s="2" customFormat="1" ht="21.75" customHeight="1">
      <c r="A1522" s="8" t="s">
        <v>33</v>
      </c>
      <c r="B1522" s="8" t="s">
        <v>32</v>
      </c>
      <c r="C1522" s="9" t="str">
        <f t="shared" si="26"/>
        <v>230102</v>
      </c>
      <c r="D1522" s="9" t="str">
        <f>"230916804"</f>
        <v>230916804</v>
      </c>
      <c r="E1522" s="10">
        <v>79.36</v>
      </c>
      <c r="F1522" s="10"/>
      <c r="G1522" s="10">
        <v>71.28</v>
      </c>
      <c r="H1522" s="10"/>
      <c r="I1522" s="10">
        <v>74.510000000000005</v>
      </c>
    </row>
    <row r="1523" spans="1:9" s="2" customFormat="1" ht="21.75" customHeight="1">
      <c r="A1523" s="8" t="s">
        <v>33</v>
      </c>
      <c r="B1523" s="8" t="s">
        <v>32</v>
      </c>
      <c r="C1523" s="9" t="str">
        <f t="shared" si="26"/>
        <v>230102</v>
      </c>
      <c r="D1523" s="9" t="str">
        <f>"230916806"</f>
        <v>230916806</v>
      </c>
      <c r="E1523" s="10">
        <v>78.239999999999995</v>
      </c>
      <c r="F1523" s="10"/>
      <c r="G1523" s="10">
        <v>62.8</v>
      </c>
      <c r="H1523" s="10"/>
      <c r="I1523" s="10">
        <v>68.98</v>
      </c>
    </row>
    <row r="1524" spans="1:9" s="2" customFormat="1" ht="21.75" customHeight="1">
      <c r="A1524" s="8" t="s">
        <v>33</v>
      </c>
      <c r="B1524" s="8" t="s">
        <v>32</v>
      </c>
      <c r="C1524" s="9" t="str">
        <f t="shared" si="26"/>
        <v>230102</v>
      </c>
      <c r="D1524" s="9" t="str">
        <f>"230916803"</f>
        <v>230916803</v>
      </c>
      <c r="E1524" s="10">
        <v>69.239999999999995</v>
      </c>
      <c r="F1524" s="10"/>
      <c r="G1524" s="10">
        <v>54.39</v>
      </c>
      <c r="H1524" s="10"/>
      <c r="I1524" s="10">
        <v>60.33</v>
      </c>
    </row>
    <row r="1525" spans="1:9" s="3" customFormat="1" ht="21.75" customHeight="1">
      <c r="A1525" s="8" t="s">
        <v>33</v>
      </c>
      <c r="B1525" s="8" t="s">
        <v>32</v>
      </c>
      <c r="C1525" s="9" t="str">
        <f t="shared" si="26"/>
        <v>230102</v>
      </c>
      <c r="D1525" s="9" t="str">
        <f>"230916801"</f>
        <v>230916801</v>
      </c>
      <c r="E1525" s="10">
        <v>0</v>
      </c>
      <c r="F1525" s="10"/>
      <c r="G1525" s="10">
        <v>0</v>
      </c>
      <c r="H1525" s="10"/>
      <c r="I1525" s="10">
        <v>0</v>
      </c>
    </row>
    <row r="1526" spans="1:9" s="2" customFormat="1" ht="21.75" customHeight="1">
      <c r="A1526" s="8" t="s">
        <v>33</v>
      </c>
      <c r="B1526" s="8" t="s">
        <v>32</v>
      </c>
      <c r="C1526" s="9" t="str">
        <f t="shared" si="26"/>
        <v>230102</v>
      </c>
      <c r="D1526" s="9" t="str">
        <f>"230916805"</f>
        <v>230916805</v>
      </c>
      <c r="E1526" s="10">
        <v>0</v>
      </c>
      <c r="F1526" s="10"/>
      <c r="G1526" s="10">
        <v>0</v>
      </c>
      <c r="H1526" s="10"/>
      <c r="I1526" s="10">
        <v>0</v>
      </c>
    </row>
    <row r="1527" spans="1:9" ht="21.75" customHeight="1">
      <c r="A1527" s="8" t="s">
        <v>33</v>
      </c>
      <c r="B1527" s="8" t="s">
        <v>34</v>
      </c>
      <c r="C1527" s="9" t="str">
        <f>"230103"</f>
        <v>230103</v>
      </c>
      <c r="D1527" s="9" t="str">
        <f>"230911210"</f>
        <v>230911210</v>
      </c>
      <c r="E1527" s="10">
        <v>73.28</v>
      </c>
      <c r="F1527" s="10"/>
      <c r="G1527" s="10">
        <v>63.42</v>
      </c>
      <c r="H1527" s="10"/>
      <c r="I1527" s="10">
        <v>67.36</v>
      </c>
    </row>
    <row r="1528" spans="1:9" s="1" customFormat="1" ht="21.75" customHeight="1">
      <c r="A1528" s="8" t="s">
        <v>33</v>
      </c>
      <c r="B1528" s="8" t="s">
        <v>34</v>
      </c>
      <c r="C1528" s="9" t="str">
        <f>"230103"</f>
        <v>230103</v>
      </c>
      <c r="D1528" s="9" t="str">
        <f>"230911209"</f>
        <v>230911209</v>
      </c>
      <c r="E1528" s="10">
        <v>0</v>
      </c>
      <c r="F1528" s="10"/>
      <c r="G1528" s="10">
        <v>0</v>
      </c>
      <c r="H1528" s="10"/>
      <c r="I1528" s="10">
        <v>0</v>
      </c>
    </row>
    <row r="1529" spans="1:9" ht="21.75" customHeight="1">
      <c r="A1529" s="8" t="s">
        <v>33</v>
      </c>
      <c r="B1529" s="8" t="s">
        <v>34</v>
      </c>
      <c r="C1529" s="9" t="str">
        <f>"230103"</f>
        <v>230103</v>
      </c>
      <c r="D1529" s="9" t="str">
        <f>"230911211"</f>
        <v>230911211</v>
      </c>
      <c r="E1529" s="10">
        <v>0</v>
      </c>
      <c r="F1529" s="10"/>
      <c r="G1529" s="10">
        <v>0</v>
      </c>
      <c r="H1529" s="10"/>
      <c r="I1529" s="10">
        <v>0</v>
      </c>
    </row>
    <row r="1530" spans="1:9" s="1" customFormat="1" ht="21.75" customHeight="1">
      <c r="A1530" s="8" t="s">
        <v>33</v>
      </c>
      <c r="B1530" s="8" t="s">
        <v>34</v>
      </c>
      <c r="C1530" s="9" t="str">
        <f>"230103"</f>
        <v>230103</v>
      </c>
      <c r="D1530" s="9" t="str">
        <f>"230911212"</f>
        <v>230911212</v>
      </c>
      <c r="E1530" s="10">
        <v>0</v>
      </c>
      <c r="F1530" s="10"/>
      <c r="G1530" s="10">
        <v>0</v>
      </c>
      <c r="H1530" s="10"/>
      <c r="I1530" s="10">
        <v>0</v>
      </c>
    </row>
    <row r="1531" spans="1:9" s="2" customFormat="1" ht="21.75" customHeight="1">
      <c r="A1531" s="8" t="s">
        <v>33</v>
      </c>
      <c r="B1531" s="8" t="s">
        <v>36</v>
      </c>
      <c r="C1531" s="9" t="str">
        <f t="shared" ref="C1531:C1538" si="27">"230104"</f>
        <v>230104</v>
      </c>
      <c r="D1531" s="9" t="str">
        <f>"230911219"</f>
        <v>230911219</v>
      </c>
      <c r="E1531" s="10">
        <v>84.8</v>
      </c>
      <c r="F1531" s="10"/>
      <c r="G1531" s="10">
        <v>75.8</v>
      </c>
      <c r="H1531" s="10"/>
      <c r="I1531" s="10">
        <v>79.400000000000006</v>
      </c>
    </row>
    <row r="1532" spans="1:9" s="2" customFormat="1" ht="21.75" customHeight="1">
      <c r="A1532" s="8" t="s">
        <v>33</v>
      </c>
      <c r="B1532" s="8" t="s">
        <v>36</v>
      </c>
      <c r="C1532" s="9" t="str">
        <f t="shared" si="27"/>
        <v>230104</v>
      </c>
      <c r="D1532" s="9" t="str">
        <f>"230911221"</f>
        <v>230911221</v>
      </c>
      <c r="E1532" s="10">
        <v>75.040000000000006</v>
      </c>
      <c r="F1532" s="10"/>
      <c r="G1532" s="10">
        <v>67.95</v>
      </c>
      <c r="H1532" s="10"/>
      <c r="I1532" s="10">
        <v>70.790000000000006</v>
      </c>
    </row>
    <row r="1533" spans="1:9" s="2" customFormat="1" ht="21.75" customHeight="1">
      <c r="A1533" s="8" t="s">
        <v>33</v>
      </c>
      <c r="B1533" s="8" t="s">
        <v>36</v>
      </c>
      <c r="C1533" s="9" t="str">
        <f t="shared" si="27"/>
        <v>230104</v>
      </c>
      <c r="D1533" s="9" t="str">
        <f>"230911217"</f>
        <v>230911217</v>
      </c>
      <c r="E1533" s="10">
        <v>70.52</v>
      </c>
      <c r="F1533" s="10"/>
      <c r="G1533" s="10">
        <v>70.849999999999994</v>
      </c>
      <c r="H1533" s="10"/>
      <c r="I1533" s="10">
        <v>70.72</v>
      </c>
    </row>
    <row r="1534" spans="1:9" s="2" customFormat="1" ht="21.75" customHeight="1">
      <c r="A1534" s="8" t="s">
        <v>33</v>
      </c>
      <c r="B1534" s="8" t="s">
        <v>36</v>
      </c>
      <c r="C1534" s="9" t="str">
        <f t="shared" si="27"/>
        <v>230104</v>
      </c>
      <c r="D1534" s="9" t="str">
        <f>"230911215"</f>
        <v>230911215</v>
      </c>
      <c r="E1534" s="10">
        <v>73.599999999999994</v>
      </c>
      <c r="F1534" s="10"/>
      <c r="G1534" s="10">
        <v>66.510000000000005</v>
      </c>
      <c r="H1534" s="10"/>
      <c r="I1534" s="10">
        <v>69.349999999999994</v>
      </c>
    </row>
    <row r="1535" spans="1:9" s="2" customFormat="1" ht="21.75" customHeight="1">
      <c r="A1535" s="8" t="s">
        <v>33</v>
      </c>
      <c r="B1535" s="8" t="s">
        <v>36</v>
      </c>
      <c r="C1535" s="9" t="str">
        <f t="shared" si="27"/>
        <v>230104</v>
      </c>
      <c r="D1535" s="9" t="str">
        <f>"230911216"</f>
        <v>230911216</v>
      </c>
      <c r="E1535" s="10">
        <v>77.239999999999995</v>
      </c>
      <c r="F1535" s="10"/>
      <c r="G1535" s="10">
        <v>63.93</v>
      </c>
      <c r="H1535" s="10"/>
      <c r="I1535" s="10">
        <v>69.25</v>
      </c>
    </row>
    <row r="1536" spans="1:9" s="3" customFormat="1" ht="21.75" customHeight="1">
      <c r="A1536" s="8" t="s">
        <v>33</v>
      </c>
      <c r="B1536" s="8" t="s">
        <v>36</v>
      </c>
      <c r="C1536" s="9" t="str">
        <f t="shared" si="27"/>
        <v>230104</v>
      </c>
      <c r="D1536" s="9" t="str">
        <f>"230911218"</f>
        <v>230911218</v>
      </c>
      <c r="E1536" s="10">
        <v>68.8</v>
      </c>
      <c r="F1536" s="10"/>
      <c r="G1536" s="10">
        <v>67.739999999999995</v>
      </c>
      <c r="H1536" s="10"/>
      <c r="I1536" s="10">
        <v>68.16</v>
      </c>
    </row>
    <row r="1537" spans="1:9" s="2" customFormat="1" ht="21.75" customHeight="1">
      <c r="A1537" s="8" t="s">
        <v>33</v>
      </c>
      <c r="B1537" s="8" t="s">
        <v>36</v>
      </c>
      <c r="C1537" s="9" t="str">
        <f t="shared" si="27"/>
        <v>230104</v>
      </c>
      <c r="D1537" s="9" t="str">
        <f>"230911220"</f>
        <v>230911220</v>
      </c>
      <c r="E1537" s="10">
        <v>77.959999999999994</v>
      </c>
      <c r="F1537" s="10"/>
      <c r="G1537" s="10">
        <v>60.25</v>
      </c>
      <c r="H1537" s="10"/>
      <c r="I1537" s="10">
        <v>67.33</v>
      </c>
    </row>
    <row r="1538" spans="1:9" s="3" customFormat="1" ht="21.75" customHeight="1">
      <c r="A1538" s="8" t="s">
        <v>33</v>
      </c>
      <c r="B1538" s="8" t="s">
        <v>36</v>
      </c>
      <c r="C1538" s="9" t="str">
        <f t="shared" si="27"/>
        <v>230104</v>
      </c>
      <c r="D1538" s="9" t="str">
        <f>"230911222"</f>
        <v>230911222</v>
      </c>
      <c r="E1538" s="10">
        <v>70.44</v>
      </c>
      <c r="F1538" s="10"/>
      <c r="G1538" s="10">
        <v>64.459999999999994</v>
      </c>
      <c r="H1538" s="10"/>
      <c r="I1538" s="10">
        <v>66.849999999999994</v>
      </c>
    </row>
    <row r="1539" spans="1:9" s="1" customFormat="1" ht="21.75" customHeight="1">
      <c r="A1539" s="8" t="s">
        <v>33</v>
      </c>
      <c r="B1539" s="8" t="s">
        <v>44</v>
      </c>
      <c r="C1539" s="9" t="str">
        <f t="shared" ref="C1539:C1553" si="28">"230105"</f>
        <v>230105</v>
      </c>
      <c r="D1539" s="9" t="str">
        <f>"230916910"</f>
        <v>230916910</v>
      </c>
      <c r="E1539" s="10">
        <v>71.64</v>
      </c>
      <c r="F1539" s="10"/>
      <c r="G1539" s="10">
        <v>67.260000000000005</v>
      </c>
      <c r="H1539" s="10"/>
      <c r="I1539" s="10">
        <v>69.010000000000005</v>
      </c>
    </row>
    <row r="1540" spans="1:9" ht="21.75" customHeight="1">
      <c r="A1540" s="8" t="s">
        <v>33</v>
      </c>
      <c r="B1540" s="8" t="s">
        <v>44</v>
      </c>
      <c r="C1540" s="9" t="str">
        <f t="shared" si="28"/>
        <v>230105</v>
      </c>
      <c r="D1540" s="9" t="str">
        <f>"230916915"</f>
        <v>230916915</v>
      </c>
      <c r="E1540" s="10">
        <v>74.760000000000005</v>
      </c>
      <c r="F1540" s="10"/>
      <c r="G1540" s="10">
        <v>61.06</v>
      </c>
      <c r="H1540" s="10"/>
      <c r="I1540" s="10">
        <v>66.540000000000006</v>
      </c>
    </row>
    <row r="1541" spans="1:9" ht="21.75" customHeight="1">
      <c r="A1541" s="8" t="s">
        <v>33</v>
      </c>
      <c r="B1541" s="8" t="s">
        <v>44</v>
      </c>
      <c r="C1541" s="9" t="str">
        <f t="shared" si="28"/>
        <v>230105</v>
      </c>
      <c r="D1541" s="9" t="str">
        <f>"230916901"</f>
        <v>230916901</v>
      </c>
      <c r="E1541" s="10">
        <v>77.56</v>
      </c>
      <c r="F1541" s="10"/>
      <c r="G1541" s="10">
        <v>56.23</v>
      </c>
      <c r="H1541" s="10"/>
      <c r="I1541" s="10">
        <v>64.760000000000005</v>
      </c>
    </row>
    <row r="1542" spans="1:9" s="1" customFormat="1" ht="21.75" customHeight="1">
      <c r="A1542" s="8" t="s">
        <v>33</v>
      </c>
      <c r="B1542" s="8" t="s">
        <v>44</v>
      </c>
      <c r="C1542" s="9" t="str">
        <f t="shared" si="28"/>
        <v>230105</v>
      </c>
      <c r="D1542" s="9" t="str">
        <f>"230916905"</f>
        <v>230916905</v>
      </c>
      <c r="E1542" s="10">
        <v>63.32</v>
      </c>
      <c r="F1542" s="10"/>
      <c r="G1542" s="10">
        <v>65.540000000000006</v>
      </c>
      <c r="H1542" s="10"/>
      <c r="I1542" s="10">
        <v>64.650000000000006</v>
      </c>
    </row>
    <row r="1543" spans="1:9" ht="21.75" customHeight="1">
      <c r="A1543" s="8" t="s">
        <v>33</v>
      </c>
      <c r="B1543" s="8" t="s">
        <v>44</v>
      </c>
      <c r="C1543" s="9" t="str">
        <f t="shared" si="28"/>
        <v>230105</v>
      </c>
      <c r="D1543" s="9" t="str">
        <f>"230916902"</f>
        <v>230916902</v>
      </c>
      <c r="E1543" s="10">
        <v>65.28</v>
      </c>
      <c r="F1543" s="10"/>
      <c r="G1543" s="10">
        <v>58.64</v>
      </c>
      <c r="H1543" s="10"/>
      <c r="I1543" s="10">
        <v>61.3</v>
      </c>
    </row>
    <row r="1544" spans="1:9" ht="21.75" customHeight="1">
      <c r="A1544" s="8" t="s">
        <v>33</v>
      </c>
      <c r="B1544" s="8" t="s">
        <v>44</v>
      </c>
      <c r="C1544" s="9" t="str">
        <f t="shared" si="28"/>
        <v>230105</v>
      </c>
      <c r="D1544" s="9" t="str">
        <f>"230916907"</f>
        <v>230916907</v>
      </c>
      <c r="E1544" s="10">
        <v>68.12</v>
      </c>
      <c r="F1544" s="10"/>
      <c r="G1544" s="10">
        <v>53.52</v>
      </c>
      <c r="H1544" s="10"/>
      <c r="I1544" s="10">
        <v>59.36</v>
      </c>
    </row>
    <row r="1545" spans="1:9" ht="21.75" customHeight="1">
      <c r="A1545" s="8" t="s">
        <v>33</v>
      </c>
      <c r="B1545" s="8" t="s">
        <v>44</v>
      </c>
      <c r="C1545" s="9" t="str">
        <f t="shared" si="28"/>
        <v>230105</v>
      </c>
      <c r="D1545" s="9" t="str">
        <f>"230916909"</f>
        <v>230916909</v>
      </c>
      <c r="E1545" s="10">
        <v>62.44</v>
      </c>
      <c r="F1545" s="10"/>
      <c r="G1545" s="10">
        <v>42.73</v>
      </c>
      <c r="H1545" s="10"/>
      <c r="I1545" s="10">
        <v>50.61</v>
      </c>
    </row>
    <row r="1546" spans="1:9" ht="21.75" customHeight="1">
      <c r="A1546" s="8" t="s">
        <v>33</v>
      </c>
      <c r="B1546" s="8" t="s">
        <v>44</v>
      </c>
      <c r="C1546" s="9" t="str">
        <f t="shared" si="28"/>
        <v>230105</v>
      </c>
      <c r="D1546" s="9" t="str">
        <f>"230916903"</f>
        <v>230916903</v>
      </c>
      <c r="E1546" s="10">
        <v>0</v>
      </c>
      <c r="F1546" s="10"/>
      <c r="G1546" s="10">
        <v>0</v>
      </c>
      <c r="H1546" s="10"/>
      <c r="I1546" s="10">
        <v>0</v>
      </c>
    </row>
    <row r="1547" spans="1:9" ht="21.75" customHeight="1">
      <c r="A1547" s="8" t="s">
        <v>33</v>
      </c>
      <c r="B1547" s="8" t="s">
        <v>44</v>
      </c>
      <c r="C1547" s="9" t="str">
        <f t="shared" si="28"/>
        <v>230105</v>
      </c>
      <c r="D1547" s="9" t="str">
        <f>"230916904"</f>
        <v>230916904</v>
      </c>
      <c r="E1547" s="10">
        <v>0</v>
      </c>
      <c r="F1547" s="10"/>
      <c r="G1547" s="10">
        <v>0</v>
      </c>
      <c r="H1547" s="10"/>
      <c r="I1547" s="10">
        <v>0</v>
      </c>
    </row>
    <row r="1548" spans="1:9" ht="21.75" customHeight="1">
      <c r="A1548" s="8" t="s">
        <v>33</v>
      </c>
      <c r="B1548" s="8" t="s">
        <v>44</v>
      </c>
      <c r="C1548" s="9" t="str">
        <f t="shared" si="28"/>
        <v>230105</v>
      </c>
      <c r="D1548" s="9" t="str">
        <f>"230916906"</f>
        <v>230916906</v>
      </c>
      <c r="E1548" s="10">
        <v>0</v>
      </c>
      <c r="F1548" s="10"/>
      <c r="G1548" s="10">
        <v>0</v>
      </c>
      <c r="H1548" s="10"/>
      <c r="I1548" s="10">
        <v>0</v>
      </c>
    </row>
    <row r="1549" spans="1:9" ht="21.75" customHeight="1">
      <c r="A1549" s="8" t="s">
        <v>33</v>
      </c>
      <c r="B1549" s="8" t="s">
        <v>44</v>
      </c>
      <c r="C1549" s="9" t="str">
        <f t="shared" si="28"/>
        <v>230105</v>
      </c>
      <c r="D1549" s="9" t="str">
        <f>"230916908"</f>
        <v>230916908</v>
      </c>
      <c r="E1549" s="10">
        <v>0</v>
      </c>
      <c r="F1549" s="10"/>
      <c r="G1549" s="10">
        <v>0</v>
      </c>
      <c r="H1549" s="10"/>
      <c r="I1549" s="10">
        <v>0</v>
      </c>
    </row>
    <row r="1550" spans="1:9" s="1" customFormat="1" ht="21.75" customHeight="1">
      <c r="A1550" s="8" t="s">
        <v>33</v>
      </c>
      <c r="B1550" s="8" t="s">
        <v>44</v>
      </c>
      <c r="C1550" s="9" t="str">
        <f t="shared" si="28"/>
        <v>230105</v>
      </c>
      <c r="D1550" s="9" t="str">
        <f>"230916911"</f>
        <v>230916911</v>
      </c>
      <c r="E1550" s="10">
        <v>0</v>
      </c>
      <c r="F1550" s="10"/>
      <c r="G1550" s="10">
        <v>0</v>
      </c>
      <c r="H1550" s="10"/>
      <c r="I1550" s="10">
        <v>0</v>
      </c>
    </row>
    <row r="1551" spans="1:9" ht="21.75" customHeight="1">
      <c r="A1551" s="8" t="s">
        <v>33</v>
      </c>
      <c r="B1551" s="8" t="s">
        <v>44</v>
      </c>
      <c r="C1551" s="9" t="str">
        <f t="shared" si="28"/>
        <v>230105</v>
      </c>
      <c r="D1551" s="9" t="str">
        <f>"230916912"</f>
        <v>230916912</v>
      </c>
      <c r="E1551" s="10">
        <v>0</v>
      </c>
      <c r="F1551" s="10"/>
      <c r="G1551" s="10">
        <v>0</v>
      </c>
      <c r="H1551" s="10"/>
      <c r="I1551" s="10">
        <v>0</v>
      </c>
    </row>
    <row r="1552" spans="1:9" ht="21.75" customHeight="1">
      <c r="A1552" s="8" t="s">
        <v>33</v>
      </c>
      <c r="B1552" s="8" t="s">
        <v>44</v>
      </c>
      <c r="C1552" s="9" t="str">
        <f t="shared" si="28"/>
        <v>230105</v>
      </c>
      <c r="D1552" s="9" t="str">
        <f>"230916913"</f>
        <v>230916913</v>
      </c>
      <c r="E1552" s="10">
        <v>0</v>
      </c>
      <c r="F1552" s="10"/>
      <c r="G1552" s="10">
        <v>0</v>
      </c>
      <c r="H1552" s="10"/>
      <c r="I1552" s="10">
        <v>0</v>
      </c>
    </row>
    <row r="1553" spans="1:9" ht="21.75" customHeight="1">
      <c r="A1553" s="8" t="s">
        <v>33</v>
      </c>
      <c r="B1553" s="8" t="s">
        <v>44</v>
      </c>
      <c r="C1553" s="9" t="str">
        <f t="shared" si="28"/>
        <v>230105</v>
      </c>
      <c r="D1553" s="9" t="str">
        <f>"230916914"</f>
        <v>230916914</v>
      </c>
      <c r="E1553" s="10">
        <v>0</v>
      </c>
      <c r="F1553" s="10"/>
      <c r="G1553" s="10">
        <v>0</v>
      </c>
      <c r="H1553" s="10"/>
      <c r="I1553" s="10">
        <v>0</v>
      </c>
    </row>
    <row r="1554" spans="1:9" s="2" customFormat="1" ht="21.75" customHeight="1">
      <c r="A1554" s="8" t="s">
        <v>33</v>
      </c>
      <c r="B1554" s="8" t="s">
        <v>45</v>
      </c>
      <c r="C1554" s="9" t="str">
        <f t="shared" ref="C1554:C1567" si="29">"230106"</f>
        <v>230106</v>
      </c>
      <c r="D1554" s="9" t="str">
        <f>"230916921"</f>
        <v>230916921</v>
      </c>
      <c r="E1554" s="10">
        <v>82.76</v>
      </c>
      <c r="F1554" s="10"/>
      <c r="G1554" s="10">
        <v>78.14</v>
      </c>
      <c r="H1554" s="10"/>
      <c r="I1554" s="10">
        <v>79.989999999999995</v>
      </c>
    </row>
    <row r="1555" spans="1:9" s="2" customFormat="1" ht="21.75" customHeight="1">
      <c r="A1555" s="8" t="s">
        <v>33</v>
      </c>
      <c r="B1555" s="8" t="s">
        <v>45</v>
      </c>
      <c r="C1555" s="9" t="str">
        <f t="shared" si="29"/>
        <v>230106</v>
      </c>
      <c r="D1555" s="9" t="str">
        <f>"230916918"</f>
        <v>230916918</v>
      </c>
      <c r="E1555" s="10">
        <v>66.52</v>
      </c>
      <c r="F1555" s="10"/>
      <c r="G1555" s="10">
        <v>82.32</v>
      </c>
      <c r="H1555" s="10"/>
      <c r="I1555" s="10">
        <v>76</v>
      </c>
    </row>
    <row r="1556" spans="1:9" s="3" customFormat="1" ht="21.75" customHeight="1">
      <c r="A1556" s="8" t="s">
        <v>33</v>
      </c>
      <c r="B1556" s="8" t="s">
        <v>45</v>
      </c>
      <c r="C1556" s="9" t="str">
        <f t="shared" si="29"/>
        <v>230106</v>
      </c>
      <c r="D1556" s="9" t="str">
        <f>"230916922"</f>
        <v>230916922</v>
      </c>
      <c r="E1556" s="10">
        <v>77.28</v>
      </c>
      <c r="F1556" s="10"/>
      <c r="G1556" s="10">
        <v>72.94</v>
      </c>
      <c r="H1556" s="10"/>
      <c r="I1556" s="10">
        <v>74.680000000000007</v>
      </c>
    </row>
    <row r="1557" spans="1:9" s="2" customFormat="1" ht="21.75" customHeight="1">
      <c r="A1557" s="8" t="s">
        <v>33</v>
      </c>
      <c r="B1557" s="8" t="s">
        <v>45</v>
      </c>
      <c r="C1557" s="9" t="str">
        <f t="shared" si="29"/>
        <v>230106</v>
      </c>
      <c r="D1557" s="9" t="str">
        <f>"230916924"</f>
        <v>230916924</v>
      </c>
      <c r="E1557" s="10">
        <v>80.040000000000006</v>
      </c>
      <c r="F1557" s="10"/>
      <c r="G1557" s="10">
        <v>69.83</v>
      </c>
      <c r="H1557" s="10"/>
      <c r="I1557" s="10">
        <v>73.91</v>
      </c>
    </row>
    <row r="1558" spans="1:9" s="2" customFormat="1" ht="21.75" customHeight="1">
      <c r="A1558" s="8" t="s">
        <v>33</v>
      </c>
      <c r="B1558" s="8" t="s">
        <v>45</v>
      </c>
      <c r="C1558" s="9" t="str">
        <f t="shared" si="29"/>
        <v>230106</v>
      </c>
      <c r="D1558" s="9" t="str">
        <f>"230916917"</f>
        <v>230916917</v>
      </c>
      <c r="E1558" s="10">
        <v>71.64</v>
      </c>
      <c r="F1558" s="10"/>
      <c r="G1558" s="10">
        <v>74.33</v>
      </c>
      <c r="H1558" s="10"/>
      <c r="I1558" s="10">
        <v>73.25</v>
      </c>
    </row>
    <row r="1559" spans="1:9" s="3" customFormat="1" ht="21.75" customHeight="1">
      <c r="A1559" s="8" t="s">
        <v>33</v>
      </c>
      <c r="B1559" s="8" t="s">
        <v>45</v>
      </c>
      <c r="C1559" s="9" t="str">
        <f t="shared" si="29"/>
        <v>230106</v>
      </c>
      <c r="D1559" s="9" t="str">
        <f>"230916919"</f>
        <v>230916919</v>
      </c>
      <c r="E1559" s="10">
        <v>66.400000000000006</v>
      </c>
      <c r="F1559" s="10"/>
      <c r="G1559" s="10">
        <v>76.75</v>
      </c>
      <c r="H1559" s="10"/>
      <c r="I1559" s="10">
        <v>72.61</v>
      </c>
    </row>
    <row r="1560" spans="1:9" s="2" customFormat="1" ht="21.75" customHeight="1">
      <c r="A1560" s="8" t="s">
        <v>33</v>
      </c>
      <c r="B1560" s="8" t="s">
        <v>45</v>
      </c>
      <c r="C1560" s="9" t="str">
        <f t="shared" si="29"/>
        <v>230106</v>
      </c>
      <c r="D1560" s="9" t="str">
        <f>"230916920"</f>
        <v>230916920</v>
      </c>
      <c r="E1560" s="10">
        <v>73.48</v>
      </c>
      <c r="F1560" s="10"/>
      <c r="G1560" s="10">
        <v>71.67</v>
      </c>
      <c r="H1560" s="10"/>
      <c r="I1560" s="10">
        <v>72.39</v>
      </c>
    </row>
    <row r="1561" spans="1:9" s="3" customFormat="1" ht="21.75" customHeight="1">
      <c r="A1561" s="8" t="s">
        <v>33</v>
      </c>
      <c r="B1561" s="8" t="s">
        <v>45</v>
      </c>
      <c r="C1561" s="9" t="str">
        <f t="shared" si="29"/>
        <v>230106</v>
      </c>
      <c r="D1561" s="9" t="str">
        <f>"230916928"</f>
        <v>230916928</v>
      </c>
      <c r="E1561" s="10">
        <v>76.959999999999994</v>
      </c>
      <c r="F1561" s="10"/>
      <c r="G1561" s="10">
        <v>69.28</v>
      </c>
      <c r="H1561" s="10"/>
      <c r="I1561" s="10">
        <v>72.349999999999994</v>
      </c>
    </row>
    <row r="1562" spans="1:9" s="2" customFormat="1" ht="21.75" customHeight="1">
      <c r="A1562" s="8" t="s">
        <v>33</v>
      </c>
      <c r="B1562" s="8" t="s">
        <v>45</v>
      </c>
      <c r="C1562" s="9" t="str">
        <f t="shared" si="29"/>
        <v>230106</v>
      </c>
      <c r="D1562" s="9" t="str">
        <f>"230916927"</f>
        <v>230916927</v>
      </c>
      <c r="E1562" s="10">
        <v>77.040000000000006</v>
      </c>
      <c r="F1562" s="10"/>
      <c r="G1562" s="10">
        <v>68.88</v>
      </c>
      <c r="H1562" s="10"/>
      <c r="I1562" s="10">
        <v>72.14</v>
      </c>
    </row>
    <row r="1563" spans="1:9" s="2" customFormat="1" ht="21.75" customHeight="1">
      <c r="A1563" s="8" t="s">
        <v>33</v>
      </c>
      <c r="B1563" s="8" t="s">
        <v>45</v>
      </c>
      <c r="C1563" s="9" t="str">
        <f t="shared" si="29"/>
        <v>230106</v>
      </c>
      <c r="D1563" s="9" t="str">
        <f>"230916916"</f>
        <v>230916916</v>
      </c>
      <c r="E1563" s="10">
        <v>73.52</v>
      </c>
      <c r="F1563" s="10"/>
      <c r="G1563" s="10">
        <v>69.94</v>
      </c>
      <c r="H1563" s="10"/>
      <c r="I1563" s="10">
        <v>71.37</v>
      </c>
    </row>
    <row r="1564" spans="1:9" s="2" customFormat="1" ht="21.75" customHeight="1">
      <c r="A1564" s="8" t="s">
        <v>33</v>
      </c>
      <c r="B1564" s="8" t="s">
        <v>45</v>
      </c>
      <c r="C1564" s="9" t="str">
        <f t="shared" si="29"/>
        <v>230106</v>
      </c>
      <c r="D1564" s="9" t="str">
        <f>"230916925"</f>
        <v>230916925</v>
      </c>
      <c r="E1564" s="10">
        <v>72.84</v>
      </c>
      <c r="F1564" s="10"/>
      <c r="G1564" s="10">
        <v>68.790000000000006</v>
      </c>
      <c r="H1564" s="10"/>
      <c r="I1564" s="10">
        <v>70.41</v>
      </c>
    </row>
    <row r="1565" spans="1:9" s="2" customFormat="1" ht="21.75" customHeight="1">
      <c r="A1565" s="8" t="s">
        <v>33</v>
      </c>
      <c r="B1565" s="8" t="s">
        <v>45</v>
      </c>
      <c r="C1565" s="9" t="str">
        <f t="shared" si="29"/>
        <v>230106</v>
      </c>
      <c r="D1565" s="9" t="str">
        <f>"230916926"</f>
        <v>230916926</v>
      </c>
      <c r="E1565" s="10">
        <v>63.48</v>
      </c>
      <c r="F1565" s="10"/>
      <c r="G1565" s="10">
        <v>69.17</v>
      </c>
      <c r="H1565" s="10"/>
      <c r="I1565" s="10">
        <v>66.89</v>
      </c>
    </row>
    <row r="1566" spans="1:9" s="2" customFormat="1" ht="21.75" customHeight="1">
      <c r="A1566" s="8" t="s">
        <v>33</v>
      </c>
      <c r="B1566" s="8" t="s">
        <v>45</v>
      </c>
      <c r="C1566" s="9" t="str">
        <f t="shared" si="29"/>
        <v>230106</v>
      </c>
      <c r="D1566" s="9" t="str">
        <f>"230916923"</f>
        <v>230916923</v>
      </c>
      <c r="E1566" s="10">
        <v>0</v>
      </c>
      <c r="F1566" s="10"/>
      <c r="G1566" s="10">
        <v>0</v>
      </c>
      <c r="H1566" s="10"/>
      <c r="I1566" s="10">
        <v>0</v>
      </c>
    </row>
    <row r="1567" spans="1:9" s="2" customFormat="1" ht="21.75" customHeight="1">
      <c r="A1567" s="8" t="s">
        <v>33</v>
      </c>
      <c r="B1567" s="8" t="s">
        <v>45</v>
      </c>
      <c r="C1567" s="9" t="str">
        <f t="shared" si="29"/>
        <v>230106</v>
      </c>
      <c r="D1567" s="9" t="str">
        <f>"230916929"</f>
        <v>230916929</v>
      </c>
      <c r="E1567" s="10">
        <v>0</v>
      </c>
      <c r="F1567" s="10"/>
      <c r="G1567" s="10">
        <v>0</v>
      </c>
      <c r="H1567" s="10"/>
      <c r="I1567" s="10">
        <v>0</v>
      </c>
    </row>
    <row r="1568" spans="1:9" ht="21.75" customHeight="1">
      <c r="A1568" s="8" t="s">
        <v>31</v>
      </c>
      <c r="B1568" s="8" t="s">
        <v>43</v>
      </c>
      <c r="C1568" s="9" t="str">
        <f t="shared" ref="C1568:C1574" si="30">"230107"</f>
        <v>230107</v>
      </c>
      <c r="D1568" s="9" t="str">
        <f>"230916721"</f>
        <v>230916721</v>
      </c>
      <c r="E1568" s="10">
        <v>79.88</v>
      </c>
      <c r="F1568" s="10"/>
      <c r="G1568" s="10">
        <v>81.52</v>
      </c>
      <c r="H1568" s="10"/>
      <c r="I1568" s="10">
        <v>80.86</v>
      </c>
    </row>
    <row r="1569" spans="1:9" ht="21.75" customHeight="1">
      <c r="A1569" s="8" t="s">
        <v>31</v>
      </c>
      <c r="B1569" s="8" t="s">
        <v>43</v>
      </c>
      <c r="C1569" s="9" t="str">
        <f t="shared" si="30"/>
        <v>230107</v>
      </c>
      <c r="D1569" s="9" t="str">
        <f>"230916720"</f>
        <v>230916720</v>
      </c>
      <c r="E1569" s="10">
        <v>73.680000000000007</v>
      </c>
      <c r="F1569" s="10"/>
      <c r="G1569" s="10">
        <v>84.55</v>
      </c>
      <c r="H1569" s="10"/>
      <c r="I1569" s="10">
        <v>80.2</v>
      </c>
    </row>
    <row r="1570" spans="1:9" ht="21.75" customHeight="1">
      <c r="A1570" s="8" t="s">
        <v>31</v>
      </c>
      <c r="B1570" s="8" t="s">
        <v>43</v>
      </c>
      <c r="C1570" s="9" t="str">
        <f t="shared" si="30"/>
        <v>230107</v>
      </c>
      <c r="D1570" s="9" t="str">
        <f>"230916726"</f>
        <v>230916726</v>
      </c>
      <c r="E1570" s="10">
        <v>79.959999999999994</v>
      </c>
      <c r="F1570" s="10"/>
      <c r="G1570" s="10">
        <v>75.989999999999995</v>
      </c>
      <c r="H1570" s="10"/>
      <c r="I1570" s="10">
        <v>77.58</v>
      </c>
    </row>
    <row r="1571" spans="1:9" ht="21.75" customHeight="1">
      <c r="A1571" s="8" t="s">
        <v>31</v>
      </c>
      <c r="B1571" s="8" t="s">
        <v>43</v>
      </c>
      <c r="C1571" s="9" t="str">
        <f t="shared" si="30"/>
        <v>230107</v>
      </c>
      <c r="D1571" s="9" t="str">
        <f>"230916724"</f>
        <v>230916724</v>
      </c>
      <c r="E1571" s="10">
        <v>74.959999999999994</v>
      </c>
      <c r="F1571" s="10"/>
      <c r="G1571" s="10">
        <v>76.319999999999993</v>
      </c>
      <c r="H1571" s="10"/>
      <c r="I1571" s="10">
        <v>75.78</v>
      </c>
    </row>
    <row r="1572" spans="1:9" s="1" customFormat="1" ht="21.75" customHeight="1">
      <c r="A1572" s="8" t="s">
        <v>31</v>
      </c>
      <c r="B1572" s="8" t="s">
        <v>43</v>
      </c>
      <c r="C1572" s="9" t="str">
        <f t="shared" si="30"/>
        <v>230107</v>
      </c>
      <c r="D1572" s="9" t="str">
        <f>"230916722"</f>
        <v>230916722</v>
      </c>
      <c r="E1572" s="10">
        <v>68.12</v>
      </c>
      <c r="F1572" s="10"/>
      <c r="G1572" s="10">
        <v>74.959999999999994</v>
      </c>
      <c r="H1572" s="10"/>
      <c r="I1572" s="10">
        <v>72.22</v>
      </c>
    </row>
    <row r="1573" spans="1:9" ht="21.75" customHeight="1">
      <c r="A1573" s="8" t="s">
        <v>31</v>
      </c>
      <c r="B1573" s="8" t="s">
        <v>43</v>
      </c>
      <c r="C1573" s="9" t="str">
        <f t="shared" si="30"/>
        <v>230107</v>
      </c>
      <c r="D1573" s="9" t="str">
        <f>"230916723"</f>
        <v>230916723</v>
      </c>
      <c r="E1573" s="10">
        <v>0</v>
      </c>
      <c r="F1573" s="10"/>
      <c r="G1573" s="10">
        <v>0</v>
      </c>
      <c r="H1573" s="10"/>
      <c r="I1573" s="10">
        <v>0</v>
      </c>
    </row>
    <row r="1574" spans="1:9" s="1" customFormat="1" ht="21.75" customHeight="1">
      <c r="A1574" s="8" t="s">
        <v>31</v>
      </c>
      <c r="B1574" s="8" t="s">
        <v>43</v>
      </c>
      <c r="C1574" s="9" t="str">
        <f t="shared" si="30"/>
        <v>230107</v>
      </c>
      <c r="D1574" s="9" t="str">
        <f>"230916725"</f>
        <v>230916725</v>
      </c>
      <c r="E1574" s="10">
        <v>0</v>
      </c>
      <c r="F1574" s="10"/>
      <c r="G1574" s="10">
        <v>0</v>
      </c>
      <c r="H1574" s="10"/>
      <c r="I1574" s="10">
        <v>0</v>
      </c>
    </row>
    <row r="1575" spans="1:9" s="2" customFormat="1" ht="21.75" customHeight="1">
      <c r="A1575" s="8" t="s">
        <v>31</v>
      </c>
      <c r="B1575" s="8" t="s">
        <v>32</v>
      </c>
      <c r="C1575" s="9" t="str">
        <f t="shared" ref="C1575:C1602" si="31">"230108"</f>
        <v>230108</v>
      </c>
      <c r="D1575" s="9" t="str">
        <f>"230916813"</f>
        <v>230916813</v>
      </c>
      <c r="E1575" s="10">
        <v>89.32</v>
      </c>
      <c r="F1575" s="10"/>
      <c r="G1575" s="10">
        <v>79.59</v>
      </c>
      <c r="H1575" s="10"/>
      <c r="I1575" s="10">
        <v>83.48</v>
      </c>
    </row>
    <row r="1576" spans="1:9" s="2" customFormat="1" ht="21.75" customHeight="1">
      <c r="A1576" s="8" t="s">
        <v>31</v>
      </c>
      <c r="B1576" s="8" t="s">
        <v>32</v>
      </c>
      <c r="C1576" s="9" t="str">
        <f t="shared" si="31"/>
        <v>230108</v>
      </c>
      <c r="D1576" s="9" t="str">
        <f>"230911208"</f>
        <v>230911208</v>
      </c>
      <c r="E1576" s="10">
        <v>84.96</v>
      </c>
      <c r="F1576" s="10"/>
      <c r="G1576" s="10">
        <v>82.1</v>
      </c>
      <c r="H1576" s="10"/>
      <c r="I1576" s="10">
        <v>83.24</v>
      </c>
    </row>
    <row r="1577" spans="1:9" s="2" customFormat="1" ht="21.75" customHeight="1">
      <c r="A1577" s="8" t="s">
        <v>31</v>
      </c>
      <c r="B1577" s="8" t="s">
        <v>32</v>
      </c>
      <c r="C1577" s="9" t="str">
        <f t="shared" si="31"/>
        <v>230108</v>
      </c>
      <c r="D1577" s="9" t="str">
        <f>"230916821"</f>
        <v>230916821</v>
      </c>
      <c r="E1577" s="10">
        <v>81.88</v>
      </c>
      <c r="F1577" s="10"/>
      <c r="G1577" s="10">
        <v>73.510000000000005</v>
      </c>
      <c r="H1577" s="10"/>
      <c r="I1577" s="10">
        <v>76.86</v>
      </c>
    </row>
    <row r="1578" spans="1:9" s="3" customFormat="1" ht="21.75" customHeight="1">
      <c r="A1578" s="8" t="s">
        <v>31</v>
      </c>
      <c r="B1578" s="8" t="s">
        <v>32</v>
      </c>
      <c r="C1578" s="9" t="str">
        <f t="shared" si="31"/>
        <v>230108</v>
      </c>
      <c r="D1578" s="9" t="str">
        <f>"230916811"</f>
        <v>230916811</v>
      </c>
      <c r="E1578" s="10">
        <v>76.760000000000005</v>
      </c>
      <c r="F1578" s="10"/>
      <c r="G1578" s="10">
        <v>76.16</v>
      </c>
      <c r="H1578" s="10"/>
      <c r="I1578" s="10">
        <v>76.400000000000006</v>
      </c>
    </row>
    <row r="1579" spans="1:9" s="2" customFormat="1" ht="21.75" customHeight="1">
      <c r="A1579" s="8" t="s">
        <v>31</v>
      </c>
      <c r="B1579" s="8" t="s">
        <v>32</v>
      </c>
      <c r="C1579" s="9" t="str">
        <f t="shared" si="31"/>
        <v>230108</v>
      </c>
      <c r="D1579" s="9" t="str">
        <f>"230916819"</f>
        <v>230916819</v>
      </c>
      <c r="E1579" s="10">
        <v>69.84</v>
      </c>
      <c r="F1579" s="10">
        <v>2</v>
      </c>
      <c r="G1579" s="10">
        <v>76.849999999999994</v>
      </c>
      <c r="H1579" s="10">
        <v>2</v>
      </c>
      <c r="I1579" s="11">
        <v>76.05</v>
      </c>
    </row>
    <row r="1580" spans="1:9" s="3" customFormat="1" ht="21.75" customHeight="1">
      <c r="A1580" s="8" t="s">
        <v>31</v>
      </c>
      <c r="B1580" s="8" t="s">
        <v>32</v>
      </c>
      <c r="C1580" s="9" t="str">
        <f t="shared" si="31"/>
        <v>230108</v>
      </c>
      <c r="D1580" s="9" t="str">
        <f>"230916829"</f>
        <v>230916829</v>
      </c>
      <c r="E1580" s="10">
        <v>83.92</v>
      </c>
      <c r="F1580" s="10"/>
      <c r="G1580" s="10">
        <v>69.45</v>
      </c>
      <c r="H1580" s="10"/>
      <c r="I1580" s="10">
        <v>75.239999999999995</v>
      </c>
    </row>
    <row r="1581" spans="1:9" s="2" customFormat="1" ht="21.75" customHeight="1">
      <c r="A1581" s="8" t="s">
        <v>31</v>
      </c>
      <c r="B1581" s="8" t="s">
        <v>32</v>
      </c>
      <c r="C1581" s="9" t="str">
        <f t="shared" si="31"/>
        <v>230108</v>
      </c>
      <c r="D1581" s="9" t="str">
        <f>"230916816"</f>
        <v>230916816</v>
      </c>
      <c r="E1581" s="10">
        <v>76.400000000000006</v>
      </c>
      <c r="F1581" s="10"/>
      <c r="G1581" s="10">
        <v>74.06</v>
      </c>
      <c r="H1581" s="10"/>
      <c r="I1581" s="10">
        <v>75</v>
      </c>
    </row>
    <row r="1582" spans="1:9" s="3" customFormat="1" ht="21.75" customHeight="1">
      <c r="A1582" s="8" t="s">
        <v>31</v>
      </c>
      <c r="B1582" s="8" t="s">
        <v>32</v>
      </c>
      <c r="C1582" s="9" t="str">
        <f t="shared" si="31"/>
        <v>230108</v>
      </c>
      <c r="D1582" s="9" t="str">
        <f>"230916810"</f>
        <v>230916810</v>
      </c>
      <c r="E1582" s="10">
        <v>82.8</v>
      </c>
      <c r="F1582" s="10"/>
      <c r="G1582" s="10">
        <v>68.25</v>
      </c>
      <c r="H1582" s="10"/>
      <c r="I1582" s="10">
        <v>74.069999999999993</v>
      </c>
    </row>
    <row r="1583" spans="1:9" s="2" customFormat="1" ht="21.75" customHeight="1">
      <c r="A1583" s="8" t="s">
        <v>31</v>
      </c>
      <c r="B1583" s="8" t="s">
        <v>32</v>
      </c>
      <c r="C1583" s="9" t="str">
        <f t="shared" si="31"/>
        <v>230108</v>
      </c>
      <c r="D1583" s="9" t="str">
        <f>"230916809"</f>
        <v>230916809</v>
      </c>
      <c r="E1583" s="10">
        <v>78.56</v>
      </c>
      <c r="F1583" s="10"/>
      <c r="G1583" s="10">
        <v>69.89</v>
      </c>
      <c r="H1583" s="10"/>
      <c r="I1583" s="10">
        <v>73.36</v>
      </c>
    </row>
    <row r="1584" spans="1:9" s="2" customFormat="1" ht="21.75" customHeight="1">
      <c r="A1584" s="8" t="s">
        <v>31</v>
      </c>
      <c r="B1584" s="8" t="s">
        <v>32</v>
      </c>
      <c r="C1584" s="9" t="str">
        <f t="shared" si="31"/>
        <v>230108</v>
      </c>
      <c r="D1584" s="9" t="str">
        <f>"230911206"</f>
        <v>230911206</v>
      </c>
      <c r="E1584" s="10">
        <v>73.44</v>
      </c>
      <c r="F1584" s="10"/>
      <c r="G1584" s="10">
        <v>72.19</v>
      </c>
      <c r="H1584" s="10"/>
      <c r="I1584" s="10">
        <v>72.69</v>
      </c>
    </row>
    <row r="1585" spans="1:9" s="2" customFormat="1" ht="21.75" customHeight="1">
      <c r="A1585" s="8" t="s">
        <v>31</v>
      </c>
      <c r="B1585" s="8" t="s">
        <v>32</v>
      </c>
      <c r="C1585" s="9" t="str">
        <f t="shared" si="31"/>
        <v>230108</v>
      </c>
      <c r="D1585" s="9" t="str">
        <f>"230911207"</f>
        <v>230911207</v>
      </c>
      <c r="E1585" s="10">
        <v>81.72</v>
      </c>
      <c r="F1585" s="10"/>
      <c r="G1585" s="10">
        <v>65.87</v>
      </c>
      <c r="H1585" s="10"/>
      <c r="I1585" s="10">
        <v>72.209999999999994</v>
      </c>
    </row>
    <row r="1586" spans="1:9" s="3" customFormat="1" ht="21.75" customHeight="1">
      <c r="A1586" s="8" t="s">
        <v>31</v>
      </c>
      <c r="B1586" s="8" t="s">
        <v>32</v>
      </c>
      <c r="C1586" s="9" t="str">
        <f t="shared" si="31"/>
        <v>230108</v>
      </c>
      <c r="D1586" s="9" t="str">
        <f>"230916828"</f>
        <v>230916828</v>
      </c>
      <c r="E1586" s="10">
        <v>75.08</v>
      </c>
      <c r="F1586" s="10"/>
      <c r="G1586" s="10">
        <v>69.75</v>
      </c>
      <c r="H1586" s="10"/>
      <c r="I1586" s="10">
        <v>71.88</v>
      </c>
    </row>
    <row r="1587" spans="1:9" s="2" customFormat="1" ht="21.75" customHeight="1">
      <c r="A1587" s="8" t="s">
        <v>31</v>
      </c>
      <c r="B1587" s="8" t="s">
        <v>32</v>
      </c>
      <c r="C1587" s="9" t="str">
        <f t="shared" si="31"/>
        <v>230108</v>
      </c>
      <c r="D1587" s="9" t="str">
        <f>"230911205"</f>
        <v>230911205</v>
      </c>
      <c r="E1587" s="10">
        <v>74.12</v>
      </c>
      <c r="F1587" s="10"/>
      <c r="G1587" s="10">
        <v>69.62</v>
      </c>
      <c r="H1587" s="10"/>
      <c r="I1587" s="10">
        <v>71.42</v>
      </c>
    </row>
    <row r="1588" spans="1:9" s="2" customFormat="1" ht="21.75" customHeight="1">
      <c r="A1588" s="8" t="s">
        <v>31</v>
      </c>
      <c r="B1588" s="8" t="s">
        <v>32</v>
      </c>
      <c r="C1588" s="9" t="str">
        <f t="shared" si="31"/>
        <v>230108</v>
      </c>
      <c r="D1588" s="9" t="str">
        <f>"230916825"</f>
        <v>230916825</v>
      </c>
      <c r="E1588" s="10">
        <v>73.92</v>
      </c>
      <c r="F1588" s="10"/>
      <c r="G1588" s="10">
        <v>69.239999999999995</v>
      </c>
      <c r="H1588" s="10"/>
      <c r="I1588" s="10">
        <v>71.11</v>
      </c>
    </row>
    <row r="1589" spans="1:9" s="2" customFormat="1" ht="21.75" customHeight="1">
      <c r="A1589" s="8" t="s">
        <v>31</v>
      </c>
      <c r="B1589" s="8" t="s">
        <v>32</v>
      </c>
      <c r="C1589" s="9" t="str">
        <f t="shared" si="31"/>
        <v>230108</v>
      </c>
      <c r="D1589" s="9" t="str">
        <f>"230916822"</f>
        <v>230916822</v>
      </c>
      <c r="E1589" s="10">
        <v>74.16</v>
      </c>
      <c r="F1589" s="10"/>
      <c r="G1589" s="10">
        <v>68.95</v>
      </c>
      <c r="H1589" s="10"/>
      <c r="I1589" s="10">
        <v>71.03</v>
      </c>
    </row>
    <row r="1590" spans="1:9" s="2" customFormat="1" ht="21.75" customHeight="1">
      <c r="A1590" s="8" t="s">
        <v>31</v>
      </c>
      <c r="B1590" s="8" t="s">
        <v>32</v>
      </c>
      <c r="C1590" s="9" t="str">
        <f t="shared" si="31"/>
        <v>230108</v>
      </c>
      <c r="D1590" s="9" t="str">
        <f>"230916807"</f>
        <v>230916807</v>
      </c>
      <c r="E1590" s="10">
        <v>68</v>
      </c>
      <c r="F1590" s="10"/>
      <c r="G1590" s="10">
        <v>71.78</v>
      </c>
      <c r="H1590" s="10"/>
      <c r="I1590" s="10">
        <v>70.27</v>
      </c>
    </row>
    <row r="1591" spans="1:9" s="2" customFormat="1" ht="21.75" customHeight="1">
      <c r="A1591" s="8" t="s">
        <v>31</v>
      </c>
      <c r="B1591" s="8" t="s">
        <v>32</v>
      </c>
      <c r="C1591" s="9" t="str">
        <f t="shared" si="31"/>
        <v>230108</v>
      </c>
      <c r="D1591" s="9" t="str">
        <f>"230916830"</f>
        <v>230916830</v>
      </c>
      <c r="E1591" s="10">
        <v>82.32</v>
      </c>
      <c r="F1591" s="10"/>
      <c r="G1591" s="10">
        <v>57.56</v>
      </c>
      <c r="H1591" s="10"/>
      <c r="I1591" s="10">
        <v>67.459999999999994</v>
      </c>
    </row>
    <row r="1592" spans="1:9" s="2" customFormat="1" ht="21.75" customHeight="1">
      <c r="A1592" s="8" t="s">
        <v>31</v>
      </c>
      <c r="B1592" s="8" t="s">
        <v>32</v>
      </c>
      <c r="C1592" s="9" t="str">
        <f t="shared" si="31"/>
        <v>230108</v>
      </c>
      <c r="D1592" s="9" t="str">
        <f>"230916824"</f>
        <v>230916824</v>
      </c>
      <c r="E1592" s="10">
        <v>74.16</v>
      </c>
      <c r="F1592" s="10"/>
      <c r="G1592" s="10">
        <v>61.5</v>
      </c>
      <c r="H1592" s="10"/>
      <c r="I1592" s="10">
        <v>66.56</v>
      </c>
    </row>
    <row r="1593" spans="1:9" s="2" customFormat="1" ht="21.75" customHeight="1">
      <c r="A1593" s="8" t="s">
        <v>31</v>
      </c>
      <c r="B1593" s="8" t="s">
        <v>32</v>
      </c>
      <c r="C1593" s="9" t="str">
        <f t="shared" si="31"/>
        <v>230108</v>
      </c>
      <c r="D1593" s="9" t="str">
        <f>"230916823"</f>
        <v>230916823</v>
      </c>
      <c r="E1593" s="10">
        <v>71.44</v>
      </c>
      <c r="F1593" s="10"/>
      <c r="G1593" s="10">
        <v>62.71</v>
      </c>
      <c r="H1593" s="10"/>
      <c r="I1593" s="10">
        <v>66.2</v>
      </c>
    </row>
    <row r="1594" spans="1:9" s="2" customFormat="1" ht="21.75" customHeight="1">
      <c r="A1594" s="8" t="s">
        <v>31</v>
      </c>
      <c r="B1594" s="8" t="s">
        <v>32</v>
      </c>
      <c r="C1594" s="9" t="str">
        <f t="shared" si="31"/>
        <v>230108</v>
      </c>
      <c r="D1594" s="9" t="str">
        <f>"230916820"</f>
        <v>230916820</v>
      </c>
      <c r="E1594" s="10">
        <v>71.92</v>
      </c>
      <c r="F1594" s="10"/>
      <c r="G1594" s="10">
        <v>60.38</v>
      </c>
      <c r="H1594" s="10"/>
      <c r="I1594" s="10">
        <v>65</v>
      </c>
    </row>
    <row r="1595" spans="1:9" s="2" customFormat="1" ht="21.75" customHeight="1">
      <c r="A1595" s="8" t="s">
        <v>31</v>
      </c>
      <c r="B1595" s="8" t="s">
        <v>32</v>
      </c>
      <c r="C1595" s="9" t="str">
        <f t="shared" si="31"/>
        <v>230108</v>
      </c>
      <c r="D1595" s="9" t="str">
        <f>"230916826"</f>
        <v>230916826</v>
      </c>
      <c r="E1595" s="10">
        <v>69.72</v>
      </c>
      <c r="F1595" s="10"/>
      <c r="G1595" s="10">
        <v>59.36</v>
      </c>
      <c r="H1595" s="10"/>
      <c r="I1595" s="10">
        <v>63.5</v>
      </c>
    </row>
    <row r="1596" spans="1:9" s="2" customFormat="1" ht="21.75" customHeight="1">
      <c r="A1596" s="8" t="s">
        <v>31</v>
      </c>
      <c r="B1596" s="8" t="s">
        <v>32</v>
      </c>
      <c r="C1596" s="9" t="str">
        <f t="shared" si="31"/>
        <v>230108</v>
      </c>
      <c r="D1596" s="9" t="str">
        <f>"230916818"</f>
        <v>230916818</v>
      </c>
      <c r="E1596" s="10">
        <v>69.680000000000007</v>
      </c>
      <c r="F1596" s="10"/>
      <c r="G1596" s="10">
        <v>55.31</v>
      </c>
      <c r="H1596" s="10"/>
      <c r="I1596" s="10">
        <v>61.06</v>
      </c>
    </row>
    <row r="1597" spans="1:9" s="2" customFormat="1" ht="21.75" customHeight="1">
      <c r="A1597" s="8" t="s">
        <v>31</v>
      </c>
      <c r="B1597" s="8" t="s">
        <v>32</v>
      </c>
      <c r="C1597" s="9" t="str">
        <f t="shared" si="31"/>
        <v>230108</v>
      </c>
      <c r="D1597" s="9" t="str">
        <f>"230916815"</f>
        <v>230916815</v>
      </c>
      <c r="E1597" s="10">
        <v>71.56</v>
      </c>
      <c r="F1597" s="10"/>
      <c r="G1597" s="10">
        <v>53.86</v>
      </c>
      <c r="H1597" s="10"/>
      <c r="I1597" s="10">
        <v>60.94</v>
      </c>
    </row>
    <row r="1598" spans="1:9" s="2" customFormat="1" ht="21.75" customHeight="1">
      <c r="A1598" s="8" t="s">
        <v>31</v>
      </c>
      <c r="B1598" s="8" t="s">
        <v>32</v>
      </c>
      <c r="C1598" s="9" t="str">
        <f t="shared" si="31"/>
        <v>230108</v>
      </c>
      <c r="D1598" s="9" t="str">
        <f>"230916812"</f>
        <v>230916812</v>
      </c>
      <c r="E1598" s="10">
        <v>66.959999999999994</v>
      </c>
      <c r="F1598" s="10"/>
      <c r="G1598" s="10">
        <v>50.68</v>
      </c>
      <c r="H1598" s="10"/>
      <c r="I1598" s="10">
        <v>57.19</v>
      </c>
    </row>
    <row r="1599" spans="1:9" s="2" customFormat="1" ht="21.75" customHeight="1">
      <c r="A1599" s="8" t="s">
        <v>31</v>
      </c>
      <c r="B1599" s="8" t="s">
        <v>32</v>
      </c>
      <c r="C1599" s="9" t="str">
        <f t="shared" si="31"/>
        <v>230108</v>
      </c>
      <c r="D1599" s="9" t="str">
        <f>"230916808"</f>
        <v>230916808</v>
      </c>
      <c r="E1599" s="10">
        <v>0</v>
      </c>
      <c r="F1599" s="10"/>
      <c r="G1599" s="10">
        <v>0</v>
      </c>
      <c r="H1599" s="10"/>
      <c r="I1599" s="10">
        <v>0</v>
      </c>
    </row>
    <row r="1600" spans="1:9" s="2" customFormat="1" ht="21.75" customHeight="1">
      <c r="A1600" s="8" t="s">
        <v>31</v>
      </c>
      <c r="B1600" s="8" t="s">
        <v>32</v>
      </c>
      <c r="C1600" s="9" t="str">
        <f t="shared" si="31"/>
        <v>230108</v>
      </c>
      <c r="D1600" s="9" t="str">
        <f>"230916814"</f>
        <v>230916814</v>
      </c>
      <c r="E1600" s="10">
        <v>0</v>
      </c>
      <c r="F1600" s="10"/>
      <c r="G1600" s="10">
        <v>0</v>
      </c>
      <c r="H1600" s="10"/>
      <c r="I1600" s="10">
        <v>0</v>
      </c>
    </row>
    <row r="1601" spans="1:9" s="3" customFormat="1" ht="21.75" customHeight="1">
      <c r="A1601" s="8" t="s">
        <v>31</v>
      </c>
      <c r="B1601" s="8" t="s">
        <v>32</v>
      </c>
      <c r="C1601" s="9" t="str">
        <f t="shared" si="31"/>
        <v>230108</v>
      </c>
      <c r="D1601" s="9" t="str">
        <f>"230916817"</f>
        <v>230916817</v>
      </c>
      <c r="E1601" s="10">
        <v>0</v>
      </c>
      <c r="F1601" s="10"/>
      <c r="G1601" s="10">
        <v>0</v>
      </c>
      <c r="H1601" s="10"/>
      <c r="I1601" s="10">
        <v>0</v>
      </c>
    </row>
    <row r="1602" spans="1:9" s="3" customFormat="1" ht="21.75" customHeight="1">
      <c r="A1602" s="8" t="s">
        <v>31</v>
      </c>
      <c r="B1602" s="8" t="s">
        <v>32</v>
      </c>
      <c r="C1602" s="9" t="str">
        <f t="shared" si="31"/>
        <v>230108</v>
      </c>
      <c r="D1602" s="9" t="str">
        <f>"230916827"</f>
        <v>230916827</v>
      </c>
      <c r="E1602" s="10">
        <v>0</v>
      </c>
      <c r="F1602" s="10"/>
      <c r="G1602" s="10">
        <v>0</v>
      </c>
      <c r="H1602" s="10"/>
      <c r="I1602" s="10">
        <v>0</v>
      </c>
    </row>
    <row r="1603" spans="1:9" s="1" customFormat="1" ht="21.75" customHeight="1">
      <c r="A1603" s="8" t="s">
        <v>31</v>
      </c>
      <c r="B1603" s="8" t="s">
        <v>35</v>
      </c>
      <c r="C1603" s="9" t="str">
        <f>"230109"</f>
        <v>230109</v>
      </c>
      <c r="D1603" s="9" t="str">
        <f>"230911214"</f>
        <v>230911214</v>
      </c>
      <c r="E1603" s="10">
        <v>75.760000000000005</v>
      </c>
      <c r="F1603" s="10"/>
      <c r="G1603" s="10">
        <v>80.63</v>
      </c>
      <c r="H1603" s="10"/>
      <c r="I1603" s="10">
        <v>78.680000000000007</v>
      </c>
    </row>
    <row r="1604" spans="1:9" s="1" customFormat="1" ht="21.75" customHeight="1">
      <c r="A1604" s="8" t="s">
        <v>31</v>
      </c>
      <c r="B1604" s="8" t="s">
        <v>35</v>
      </c>
      <c r="C1604" s="9" t="str">
        <f>"230109"</f>
        <v>230109</v>
      </c>
      <c r="D1604" s="9" t="str">
        <f>"230911213"</f>
        <v>230911213</v>
      </c>
      <c r="E1604" s="10">
        <v>73.28</v>
      </c>
      <c r="F1604" s="10"/>
      <c r="G1604" s="10">
        <v>68.099999999999994</v>
      </c>
      <c r="H1604" s="10"/>
      <c r="I1604" s="10">
        <v>70.17</v>
      </c>
    </row>
    <row r="1605" spans="1:9" s="2" customFormat="1" ht="21.75" customHeight="1">
      <c r="A1605" s="8" t="s">
        <v>11</v>
      </c>
      <c r="B1605" s="8" t="s">
        <v>41</v>
      </c>
      <c r="C1605" s="9" t="str">
        <f t="shared" ref="C1605:C1650" si="32">"230110"</f>
        <v>230110</v>
      </c>
      <c r="D1605" s="9" t="str">
        <f>"230916222"</f>
        <v>230916222</v>
      </c>
      <c r="E1605" s="10">
        <v>72.959999999999994</v>
      </c>
      <c r="F1605" s="10"/>
      <c r="G1605" s="10">
        <v>72.59</v>
      </c>
      <c r="H1605" s="10"/>
      <c r="I1605" s="10">
        <v>72.739999999999995</v>
      </c>
    </row>
    <row r="1606" spans="1:9" s="3" customFormat="1" ht="21.75" customHeight="1">
      <c r="A1606" s="8" t="s">
        <v>11</v>
      </c>
      <c r="B1606" s="8" t="s">
        <v>41</v>
      </c>
      <c r="C1606" s="9" t="str">
        <f t="shared" si="32"/>
        <v>230110</v>
      </c>
      <c r="D1606" s="9" t="str">
        <f>"230916301"</f>
        <v>230916301</v>
      </c>
      <c r="E1606" s="10">
        <v>72.72</v>
      </c>
      <c r="F1606" s="10"/>
      <c r="G1606" s="10">
        <v>69.930000000000007</v>
      </c>
      <c r="H1606" s="10"/>
      <c r="I1606" s="10">
        <v>71.05</v>
      </c>
    </row>
    <row r="1607" spans="1:9" s="3" customFormat="1" ht="21.75" customHeight="1">
      <c r="A1607" s="8" t="s">
        <v>11</v>
      </c>
      <c r="B1607" s="8" t="s">
        <v>41</v>
      </c>
      <c r="C1607" s="9" t="str">
        <f t="shared" si="32"/>
        <v>230110</v>
      </c>
      <c r="D1607" s="9" t="str">
        <f>"230916206"</f>
        <v>230916206</v>
      </c>
      <c r="E1607" s="10">
        <v>65.489999999999995</v>
      </c>
      <c r="F1607" s="10"/>
      <c r="G1607" s="10">
        <v>71.62</v>
      </c>
      <c r="H1607" s="10"/>
      <c r="I1607" s="10">
        <v>69.17</v>
      </c>
    </row>
    <row r="1608" spans="1:9" s="2" customFormat="1" ht="21.75" customHeight="1">
      <c r="A1608" s="8" t="s">
        <v>11</v>
      </c>
      <c r="B1608" s="8" t="s">
        <v>41</v>
      </c>
      <c r="C1608" s="9" t="str">
        <f t="shared" si="32"/>
        <v>230110</v>
      </c>
      <c r="D1608" s="9" t="str">
        <f>"230916124"</f>
        <v>230916124</v>
      </c>
      <c r="E1608" s="10">
        <v>65.14</v>
      </c>
      <c r="F1608" s="10"/>
      <c r="G1608" s="10">
        <v>70.069999999999993</v>
      </c>
      <c r="H1608" s="10"/>
      <c r="I1608" s="10">
        <v>68.099999999999994</v>
      </c>
    </row>
    <row r="1609" spans="1:9" s="2" customFormat="1" ht="21.75" customHeight="1">
      <c r="A1609" s="8" t="s">
        <v>11</v>
      </c>
      <c r="B1609" s="8" t="s">
        <v>41</v>
      </c>
      <c r="C1609" s="9" t="str">
        <f t="shared" si="32"/>
        <v>230110</v>
      </c>
      <c r="D1609" s="9" t="str">
        <f>"230916229"</f>
        <v>230916229</v>
      </c>
      <c r="E1609" s="10">
        <v>69.16</v>
      </c>
      <c r="F1609" s="10"/>
      <c r="G1609" s="10">
        <v>65.540000000000006</v>
      </c>
      <c r="H1609" s="10"/>
      <c r="I1609" s="10">
        <v>66.989999999999995</v>
      </c>
    </row>
    <row r="1610" spans="1:9" s="3" customFormat="1" ht="21.75" customHeight="1">
      <c r="A1610" s="8" t="s">
        <v>11</v>
      </c>
      <c r="B1610" s="8" t="s">
        <v>41</v>
      </c>
      <c r="C1610" s="9" t="str">
        <f t="shared" si="32"/>
        <v>230110</v>
      </c>
      <c r="D1610" s="9" t="str">
        <f>"230916226"</f>
        <v>230916226</v>
      </c>
      <c r="E1610" s="10">
        <v>72.05</v>
      </c>
      <c r="F1610" s="10"/>
      <c r="G1610" s="10">
        <v>60.68</v>
      </c>
      <c r="H1610" s="10"/>
      <c r="I1610" s="10">
        <v>65.23</v>
      </c>
    </row>
    <row r="1611" spans="1:9" s="2" customFormat="1" ht="21.75" customHeight="1">
      <c r="A1611" s="8" t="s">
        <v>11</v>
      </c>
      <c r="B1611" s="8" t="s">
        <v>41</v>
      </c>
      <c r="C1611" s="9" t="str">
        <f t="shared" si="32"/>
        <v>230110</v>
      </c>
      <c r="D1611" s="9" t="str">
        <f>"230916218"</f>
        <v>230916218</v>
      </c>
      <c r="E1611" s="10">
        <v>64.099999999999994</v>
      </c>
      <c r="F1611" s="10"/>
      <c r="G1611" s="10">
        <v>65.239999999999995</v>
      </c>
      <c r="H1611" s="10"/>
      <c r="I1611" s="10">
        <v>64.78</v>
      </c>
    </row>
    <row r="1612" spans="1:9" s="3" customFormat="1" ht="21.75" customHeight="1">
      <c r="A1612" s="8" t="s">
        <v>11</v>
      </c>
      <c r="B1612" s="8" t="s">
        <v>41</v>
      </c>
      <c r="C1612" s="9" t="str">
        <f t="shared" si="32"/>
        <v>230110</v>
      </c>
      <c r="D1612" s="9" t="str">
        <f>"230916214"</f>
        <v>230916214</v>
      </c>
      <c r="E1612" s="10">
        <v>77</v>
      </c>
      <c r="F1612" s="10"/>
      <c r="G1612" s="10">
        <v>56.61</v>
      </c>
      <c r="H1612" s="10"/>
      <c r="I1612" s="10">
        <v>64.77</v>
      </c>
    </row>
    <row r="1613" spans="1:9" s="3" customFormat="1" ht="21.75" customHeight="1">
      <c r="A1613" s="8" t="s">
        <v>11</v>
      </c>
      <c r="B1613" s="8" t="s">
        <v>41</v>
      </c>
      <c r="C1613" s="9" t="str">
        <f t="shared" si="32"/>
        <v>230110</v>
      </c>
      <c r="D1613" s="9" t="str">
        <f>"230916207"</f>
        <v>230916207</v>
      </c>
      <c r="E1613" s="10">
        <v>71.819999999999993</v>
      </c>
      <c r="F1613" s="10"/>
      <c r="G1613" s="10">
        <v>59.02</v>
      </c>
      <c r="H1613" s="10"/>
      <c r="I1613" s="10">
        <v>64.14</v>
      </c>
    </row>
    <row r="1614" spans="1:9" s="2" customFormat="1" ht="21.75" customHeight="1">
      <c r="A1614" s="8" t="s">
        <v>11</v>
      </c>
      <c r="B1614" s="8" t="s">
        <v>41</v>
      </c>
      <c r="C1614" s="9" t="str">
        <f t="shared" si="32"/>
        <v>230110</v>
      </c>
      <c r="D1614" s="9" t="str">
        <f>"230916305"</f>
        <v>230916305</v>
      </c>
      <c r="E1614" s="10">
        <v>62.26</v>
      </c>
      <c r="F1614" s="10"/>
      <c r="G1614" s="10">
        <v>64.69</v>
      </c>
      <c r="H1614" s="10"/>
      <c r="I1614" s="10">
        <v>63.72</v>
      </c>
    </row>
    <row r="1615" spans="1:9" s="2" customFormat="1" ht="21.75" customHeight="1">
      <c r="A1615" s="8" t="s">
        <v>11</v>
      </c>
      <c r="B1615" s="8" t="s">
        <v>41</v>
      </c>
      <c r="C1615" s="9" t="str">
        <f t="shared" si="32"/>
        <v>230110</v>
      </c>
      <c r="D1615" s="9" t="str">
        <f>"230916215"</f>
        <v>230916215</v>
      </c>
      <c r="E1615" s="10">
        <v>70.680000000000007</v>
      </c>
      <c r="F1615" s="10"/>
      <c r="G1615" s="10">
        <v>58.5</v>
      </c>
      <c r="H1615" s="10"/>
      <c r="I1615" s="10">
        <v>63.37</v>
      </c>
    </row>
    <row r="1616" spans="1:9" s="2" customFormat="1" ht="21.75" customHeight="1">
      <c r="A1616" s="8" t="s">
        <v>11</v>
      </c>
      <c r="B1616" s="8" t="s">
        <v>41</v>
      </c>
      <c r="C1616" s="9" t="str">
        <f t="shared" si="32"/>
        <v>230110</v>
      </c>
      <c r="D1616" s="9" t="str">
        <f>"230916223"</f>
        <v>230916223</v>
      </c>
      <c r="E1616" s="10">
        <v>65.03</v>
      </c>
      <c r="F1616" s="10"/>
      <c r="G1616" s="10">
        <v>62.15</v>
      </c>
      <c r="H1616" s="10"/>
      <c r="I1616" s="10">
        <v>63.3</v>
      </c>
    </row>
    <row r="1617" spans="1:9" s="3" customFormat="1" ht="21.75" customHeight="1">
      <c r="A1617" s="8" t="s">
        <v>11</v>
      </c>
      <c r="B1617" s="8" t="s">
        <v>41</v>
      </c>
      <c r="C1617" s="9" t="str">
        <f t="shared" si="32"/>
        <v>230110</v>
      </c>
      <c r="D1617" s="9" t="str">
        <f>"230916120"</f>
        <v>230916120</v>
      </c>
      <c r="E1617" s="10">
        <v>61.13</v>
      </c>
      <c r="F1617" s="10"/>
      <c r="G1617" s="10">
        <v>64.569999999999993</v>
      </c>
      <c r="H1617" s="10"/>
      <c r="I1617" s="10">
        <v>63.19</v>
      </c>
    </row>
    <row r="1618" spans="1:9" s="3" customFormat="1" ht="21.75" customHeight="1">
      <c r="A1618" s="8" t="s">
        <v>11</v>
      </c>
      <c r="B1618" s="8" t="s">
        <v>41</v>
      </c>
      <c r="C1618" s="9" t="str">
        <f t="shared" si="32"/>
        <v>230110</v>
      </c>
      <c r="D1618" s="9" t="str">
        <f>"230916221"</f>
        <v>230916221</v>
      </c>
      <c r="E1618" s="10">
        <v>71.61</v>
      </c>
      <c r="F1618" s="10"/>
      <c r="G1618" s="10">
        <v>57.44</v>
      </c>
      <c r="H1618" s="10"/>
      <c r="I1618" s="10">
        <v>63.11</v>
      </c>
    </row>
    <row r="1619" spans="1:9" s="2" customFormat="1" ht="21.75" customHeight="1">
      <c r="A1619" s="8" t="s">
        <v>11</v>
      </c>
      <c r="B1619" s="8" t="s">
        <v>41</v>
      </c>
      <c r="C1619" s="9" t="str">
        <f t="shared" si="32"/>
        <v>230110</v>
      </c>
      <c r="D1619" s="9" t="str">
        <f>"230916211"</f>
        <v>230916211</v>
      </c>
      <c r="E1619" s="10">
        <v>70.88</v>
      </c>
      <c r="F1619" s="10"/>
      <c r="G1619" s="10">
        <v>56.51</v>
      </c>
      <c r="H1619" s="10"/>
      <c r="I1619" s="10">
        <v>62.26</v>
      </c>
    </row>
    <row r="1620" spans="1:9" s="2" customFormat="1" ht="21.75" customHeight="1">
      <c r="A1620" s="8" t="s">
        <v>11</v>
      </c>
      <c r="B1620" s="8" t="s">
        <v>41</v>
      </c>
      <c r="C1620" s="9" t="str">
        <f t="shared" si="32"/>
        <v>230110</v>
      </c>
      <c r="D1620" s="9" t="str">
        <f>"230916227"</f>
        <v>230916227</v>
      </c>
      <c r="E1620" s="10">
        <v>71.930000000000007</v>
      </c>
      <c r="F1620" s="10"/>
      <c r="G1620" s="10">
        <v>54.11</v>
      </c>
      <c r="H1620" s="10"/>
      <c r="I1620" s="10">
        <v>61.24</v>
      </c>
    </row>
    <row r="1621" spans="1:9" s="2" customFormat="1" ht="21.75" customHeight="1">
      <c r="A1621" s="8" t="s">
        <v>11</v>
      </c>
      <c r="B1621" s="8" t="s">
        <v>41</v>
      </c>
      <c r="C1621" s="9" t="str">
        <f t="shared" si="32"/>
        <v>230110</v>
      </c>
      <c r="D1621" s="9" t="str">
        <f>"230916127"</f>
        <v>230916127</v>
      </c>
      <c r="E1621" s="10">
        <v>67.540000000000006</v>
      </c>
      <c r="F1621" s="10"/>
      <c r="G1621" s="10">
        <v>56.63</v>
      </c>
      <c r="H1621" s="10"/>
      <c r="I1621" s="10">
        <v>60.99</v>
      </c>
    </row>
    <row r="1622" spans="1:9" s="2" customFormat="1" ht="21.75" customHeight="1">
      <c r="A1622" s="8" t="s">
        <v>11</v>
      </c>
      <c r="B1622" s="8" t="s">
        <v>41</v>
      </c>
      <c r="C1622" s="9" t="str">
        <f t="shared" si="32"/>
        <v>230110</v>
      </c>
      <c r="D1622" s="9" t="str">
        <f>"230916208"</f>
        <v>230916208</v>
      </c>
      <c r="E1622" s="10">
        <v>65.73</v>
      </c>
      <c r="F1622" s="10"/>
      <c r="G1622" s="10">
        <v>57.81</v>
      </c>
      <c r="H1622" s="10"/>
      <c r="I1622" s="10">
        <v>60.98</v>
      </c>
    </row>
    <row r="1623" spans="1:9" s="2" customFormat="1" ht="21.75" customHeight="1">
      <c r="A1623" s="8" t="s">
        <v>11</v>
      </c>
      <c r="B1623" s="8" t="s">
        <v>41</v>
      </c>
      <c r="C1623" s="9" t="str">
        <f t="shared" si="32"/>
        <v>230110</v>
      </c>
      <c r="D1623" s="9" t="str">
        <f>"230916219"</f>
        <v>230916219</v>
      </c>
      <c r="E1623" s="10">
        <v>74.23</v>
      </c>
      <c r="F1623" s="10"/>
      <c r="G1623" s="10">
        <v>51.29</v>
      </c>
      <c r="H1623" s="10"/>
      <c r="I1623" s="10">
        <v>60.47</v>
      </c>
    </row>
    <row r="1624" spans="1:9" s="2" customFormat="1" ht="21.75" customHeight="1">
      <c r="A1624" s="8" t="s">
        <v>11</v>
      </c>
      <c r="B1624" s="8" t="s">
        <v>41</v>
      </c>
      <c r="C1624" s="9" t="str">
        <f t="shared" si="32"/>
        <v>230110</v>
      </c>
      <c r="D1624" s="9" t="str">
        <f>"230916209"</f>
        <v>230916209</v>
      </c>
      <c r="E1624" s="10">
        <v>69.98</v>
      </c>
      <c r="F1624" s="10"/>
      <c r="G1624" s="10">
        <v>54.04</v>
      </c>
      <c r="H1624" s="10"/>
      <c r="I1624" s="10">
        <v>60.42</v>
      </c>
    </row>
    <row r="1625" spans="1:9" s="2" customFormat="1" ht="21.75" customHeight="1">
      <c r="A1625" s="8" t="s">
        <v>11</v>
      </c>
      <c r="B1625" s="8" t="s">
        <v>41</v>
      </c>
      <c r="C1625" s="9" t="str">
        <f t="shared" si="32"/>
        <v>230110</v>
      </c>
      <c r="D1625" s="9" t="str">
        <f>"230916217"</f>
        <v>230916217</v>
      </c>
      <c r="E1625" s="10">
        <v>64.459999999999994</v>
      </c>
      <c r="F1625" s="10"/>
      <c r="G1625" s="10">
        <v>57.65</v>
      </c>
      <c r="H1625" s="10"/>
      <c r="I1625" s="10">
        <v>60.37</v>
      </c>
    </row>
    <row r="1626" spans="1:9" s="2" customFormat="1" ht="21.75" customHeight="1">
      <c r="A1626" s="8" t="s">
        <v>11</v>
      </c>
      <c r="B1626" s="8" t="s">
        <v>41</v>
      </c>
      <c r="C1626" s="9" t="str">
        <f t="shared" si="32"/>
        <v>230110</v>
      </c>
      <c r="D1626" s="9" t="str">
        <f>"230916122"</f>
        <v>230916122</v>
      </c>
      <c r="E1626" s="10">
        <v>62.61</v>
      </c>
      <c r="F1626" s="10"/>
      <c r="G1626" s="10">
        <v>58.57</v>
      </c>
      <c r="H1626" s="10"/>
      <c r="I1626" s="10">
        <v>60.19</v>
      </c>
    </row>
    <row r="1627" spans="1:9" s="2" customFormat="1" ht="21.75" customHeight="1">
      <c r="A1627" s="8" t="s">
        <v>11</v>
      </c>
      <c r="B1627" s="8" t="s">
        <v>41</v>
      </c>
      <c r="C1627" s="9" t="str">
        <f t="shared" si="32"/>
        <v>230110</v>
      </c>
      <c r="D1627" s="9" t="str">
        <f>"230916303"</f>
        <v>230916303</v>
      </c>
      <c r="E1627" s="10">
        <v>60.44</v>
      </c>
      <c r="F1627" s="10"/>
      <c r="G1627" s="10">
        <v>59.4</v>
      </c>
      <c r="H1627" s="10"/>
      <c r="I1627" s="10">
        <v>59.82</v>
      </c>
    </row>
    <row r="1628" spans="1:9" s="3" customFormat="1" ht="21.75" customHeight="1">
      <c r="A1628" s="8" t="s">
        <v>11</v>
      </c>
      <c r="B1628" s="8" t="s">
        <v>41</v>
      </c>
      <c r="C1628" s="9" t="str">
        <f t="shared" si="32"/>
        <v>230110</v>
      </c>
      <c r="D1628" s="9" t="str">
        <f>"230916213"</f>
        <v>230916213</v>
      </c>
      <c r="E1628" s="10">
        <v>73.66</v>
      </c>
      <c r="F1628" s="10"/>
      <c r="G1628" s="10">
        <v>50.35</v>
      </c>
      <c r="H1628" s="10"/>
      <c r="I1628" s="10">
        <v>59.67</v>
      </c>
    </row>
    <row r="1629" spans="1:9" s="2" customFormat="1" ht="21.75" customHeight="1">
      <c r="A1629" s="8" t="s">
        <v>11</v>
      </c>
      <c r="B1629" s="8" t="s">
        <v>41</v>
      </c>
      <c r="C1629" s="9" t="str">
        <f t="shared" si="32"/>
        <v>230110</v>
      </c>
      <c r="D1629" s="9" t="str">
        <f>"230916125"</f>
        <v>230916125</v>
      </c>
      <c r="E1629" s="10">
        <v>70.459999999999994</v>
      </c>
      <c r="F1629" s="10"/>
      <c r="G1629" s="10">
        <v>51.17</v>
      </c>
      <c r="H1629" s="10"/>
      <c r="I1629" s="10">
        <v>58.89</v>
      </c>
    </row>
    <row r="1630" spans="1:9" s="2" customFormat="1" ht="21.75" customHeight="1">
      <c r="A1630" s="8" t="s">
        <v>11</v>
      </c>
      <c r="B1630" s="8" t="s">
        <v>41</v>
      </c>
      <c r="C1630" s="9" t="str">
        <f t="shared" si="32"/>
        <v>230110</v>
      </c>
      <c r="D1630" s="9" t="str">
        <f>"230916121"</f>
        <v>230916121</v>
      </c>
      <c r="E1630" s="10">
        <v>72.16</v>
      </c>
      <c r="F1630" s="10"/>
      <c r="G1630" s="10">
        <v>48.2</v>
      </c>
      <c r="H1630" s="10"/>
      <c r="I1630" s="10">
        <v>57.78</v>
      </c>
    </row>
    <row r="1631" spans="1:9" s="2" customFormat="1" ht="21.75" customHeight="1">
      <c r="A1631" s="8" t="s">
        <v>11</v>
      </c>
      <c r="B1631" s="8" t="s">
        <v>41</v>
      </c>
      <c r="C1631" s="9" t="str">
        <f t="shared" si="32"/>
        <v>230110</v>
      </c>
      <c r="D1631" s="9" t="str">
        <f>"230916212"</f>
        <v>230916212</v>
      </c>
      <c r="E1631" s="10">
        <v>71.25</v>
      </c>
      <c r="F1631" s="10"/>
      <c r="G1631" s="10">
        <v>47.84</v>
      </c>
      <c r="H1631" s="10"/>
      <c r="I1631" s="10">
        <v>57.2</v>
      </c>
    </row>
    <row r="1632" spans="1:9" s="2" customFormat="1" ht="21.75" customHeight="1">
      <c r="A1632" s="8" t="s">
        <v>11</v>
      </c>
      <c r="B1632" s="8" t="s">
        <v>41</v>
      </c>
      <c r="C1632" s="9" t="str">
        <f t="shared" si="32"/>
        <v>230110</v>
      </c>
      <c r="D1632" s="9" t="str">
        <f>"230916201"</f>
        <v>230916201</v>
      </c>
      <c r="E1632" s="10">
        <v>64.099999999999994</v>
      </c>
      <c r="F1632" s="10"/>
      <c r="G1632" s="10">
        <v>50.72</v>
      </c>
      <c r="H1632" s="10"/>
      <c r="I1632" s="10">
        <v>56.07</v>
      </c>
    </row>
    <row r="1633" spans="1:9" s="2" customFormat="1" ht="21.75" customHeight="1">
      <c r="A1633" s="8" t="s">
        <v>11</v>
      </c>
      <c r="B1633" s="8" t="s">
        <v>41</v>
      </c>
      <c r="C1633" s="9" t="str">
        <f t="shared" si="32"/>
        <v>230110</v>
      </c>
      <c r="D1633" s="9" t="str">
        <f>"230916225"</f>
        <v>230916225</v>
      </c>
      <c r="E1633" s="10">
        <v>60.32</v>
      </c>
      <c r="F1633" s="10"/>
      <c r="G1633" s="10">
        <v>53.2</v>
      </c>
      <c r="H1633" s="10"/>
      <c r="I1633" s="10">
        <v>56.05</v>
      </c>
    </row>
    <row r="1634" spans="1:9" s="3" customFormat="1" ht="21.75" customHeight="1">
      <c r="A1634" s="8" t="s">
        <v>11</v>
      </c>
      <c r="B1634" s="8" t="s">
        <v>41</v>
      </c>
      <c r="C1634" s="9" t="str">
        <f t="shared" si="32"/>
        <v>230110</v>
      </c>
      <c r="D1634" s="9" t="str">
        <f>"230916126"</f>
        <v>230916126</v>
      </c>
      <c r="E1634" s="10">
        <v>69.41</v>
      </c>
      <c r="F1634" s="10"/>
      <c r="G1634" s="10">
        <v>46.97</v>
      </c>
      <c r="H1634" s="10"/>
      <c r="I1634" s="10">
        <v>55.95</v>
      </c>
    </row>
    <row r="1635" spans="1:9" s="2" customFormat="1" ht="21.75" customHeight="1">
      <c r="A1635" s="8" t="s">
        <v>11</v>
      </c>
      <c r="B1635" s="8" t="s">
        <v>41</v>
      </c>
      <c r="C1635" s="9" t="str">
        <f t="shared" si="32"/>
        <v>230110</v>
      </c>
      <c r="D1635" s="9" t="str">
        <f>"230916202"</f>
        <v>230916202</v>
      </c>
      <c r="E1635" s="10">
        <v>59.04</v>
      </c>
      <c r="F1635" s="10"/>
      <c r="G1635" s="10">
        <v>52.08</v>
      </c>
      <c r="H1635" s="10"/>
      <c r="I1635" s="10">
        <v>54.86</v>
      </c>
    </row>
    <row r="1636" spans="1:9" s="2" customFormat="1" ht="21.75" customHeight="1">
      <c r="A1636" s="8" t="s">
        <v>11</v>
      </c>
      <c r="B1636" s="8" t="s">
        <v>41</v>
      </c>
      <c r="C1636" s="9" t="str">
        <f t="shared" si="32"/>
        <v>230110</v>
      </c>
      <c r="D1636" s="9" t="str">
        <f>"230916220"</f>
        <v>230916220</v>
      </c>
      <c r="E1636" s="10">
        <v>56.99</v>
      </c>
      <c r="F1636" s="10"/>
      <c r="G1636" s="10">
        <v>47.89</v>
      </c>
      <c r="H1636" s="10"/>
      <c r="I1636" s="10">
        <v>51.53</v>
      </c>
    </row>
    <row r="1637" spans="1:9" s="2" customFormat="1" ht="21.75" customHeight="1">
      <c r="A1637" s="8" t="s">
        <v>11</v>
      </c>
      <c r="B1637" s="8" t="s">
        <v>41</v>
      </c>
      <c r="C1637" s="9" t="str">
        <f t="shared" si="32"/>
        <v>230110</v>
      </c>
      <c r="D1637" s="9" t="str">
        <f>"230916210"</f>
        <v>230916210</v>
      </c>
      <c r="E1637" s="10">
        <v>55.01</v>
      </c>
      <c r="F1637" s="10"/>
      <c r="G1637" s="10">
        <v>42.82</v>
      </c>
      <c r="H1637" s="10"/>
      <c r="I1637" s="10">
        <v>47.7</v>
      </c>
    </row>
    <row r="1638" spans="1:9" s="3" customFormat="1" ht="21.75" customHeight="1">
      <c r="A1638" s="8" t="s">
        <v>11</v>
      </c>
      <c r="B1638" s="8" t="s">
        <v>41</v>
      </c>
      <c r="C1638" s="9" t="str">
        <f t="shared" si="32"/>
        <v>230110</v>
      </c>
      <c r="D1638" s="9" t="str">
        <f>"230916128"</f>
        <v>230916128</v>
      </c>
      <c r="E1638" s="10">
        <v>47.33</v>
      </c>
      <c r="F1638" s="10"/>
      <c r="G1638" s="10">
        <v>13.7</v>
      </c>
      <c r="H1638" s="10"/>
      <c r="I1638" s="10">
        <v>27.15</v>
      </c>
    </row>
    <row r="1639" spans="1:9" s="2" customFormat="1" ht="21.75" customHeight="1">
      <c r="A1639" s="8" t="s">
        <v>11</v>
      </c>
      <c r="B1639" s="8" t="s">
        <v>41</v>
      </c>
      <c r="C1639" s="9" t="str">
        <f t="shared" si="32"/>
        <v>230110</v>
      </c>
      <c r="D1639" s="9" t="str">
        <f>"230916304"</f>
        <v>230916304</v>
      </c>
      <c r="E1639" s="10">
        <v>64.22</v>
      </c>
      <c r="F1639" s="10"/>
      <c r="G1639" s="10">
        <v>0</v>
      </c>
      <c r="H1639" s="10"/>
      <c r="I1639" s="10">
        <v>25.69</v>
      </c>
    </row>
    <row r="1640" spans="1:9" s="2" customFormat="1" ht="21.75" customHeight="1">
      <c r="A1640" s="8" t="s">
        <v>11</v>
      </c>
      <c r="B1640" s="8" t="s">
        <v>41</v>
      </c>
      <c r="C1640" s="9" t="str">
        <f t="shared" si="32"/>
        <v>230110</v>
      </c>
      <c r="D1640" s="9" t="str">
        <f>"230916123"</f>
        <v>230916123</v>
      </c>
      <c r="E1640" s="10">
        <v>0</v>
      </c>
      <c r="F1640" s="10"/>
      <c r="G1640" s="10">
        <v>0</v>
      </c>
      <c r="H1640" s="10"/>
      <c r="I1640" s="10">
        <v>0</v>
      </c>
    </row>
    <row r="1641" spans="1:9" s="3" customFormat="1" ht="21.75" customHeight="1">
      <c r="A1641" s="8" t="s">
        <v>11</v>
      </c>
      <c r="B1641" s="8" t="s">
        <v>41</v>
      </c>
      <c r="C1641" s="9" t="str">
        <f t="shared" si="32"/>
        <v>230110</v>
      </c>
      <c r="D1641" s="9" t="str">
        <f>"230916129"</f>
        <v>230916129</v>
      </c>
      <c r="E1641" s="10">
        <v>0</v>
      </c>
      <c r="F1641" s="10"/>
      <c r="G1641" s="10">
        <v>0</v>
      </c>
      <c r="H1641" s="10"/>
      <c r="I1641" s="10">
        <v>0</v>
      </c>
    </row>
    <row r="1642" spans="1:9" s="2" customFormat="1" ht="21.75" customHeight="1">
      <c r="A1642" s="8" t="s">
        <v>11</v>
      </c>
      <c r="B1642" s="8" t="s">
        <v>41</v>
      </c>
      <c r="C1642" s="9" t="str">
        <f t="shared" si="32"/>
        <v>230110</v>
      </c>
      <c r="D1642" s="9" t="str">
        <f>"230916130"</f>
        <v>230916130</v>
      </c>
      <c r="E1642" s="10">
        <v>0</v>
      </c>
      <c r="F1642" s="10"/>
      <c r="G1642" s="10">
        <v>0</v>
      </c>
      <c r="H1642" s="10"/>
      <c r="I1642" s="10">
        <v>0</v>
      </c>
    </row>
    <row r="1643" spans="1:9" s="2" customFormat="1" ht="21.75" customHeight="1">
      <c r="A1643" s="8" t="s">
        <v>11</v>
      </c>
      <c r="B1643" s="8" t="s">
        <v>41</v>
      </c>
      <c r="C1643" s="9" t="str">
        <f t="shared" si="32"/>
        <v>230110</v>
      </c>
      <c r="D1643" s="9" t="str">
        <f>"230916203"</f>
        <v>230916203</v>
      </c>
      <c r="E1643" s="10">
        <v>0</v>
      </c>
      <c r="F1643" s="10"/>
      <c r="G1643" s="10">
        <v>0</v>
      </c>
      <c r="H1643" s="10"/>
      <c r="I1643" s="10">
        <v>0</v>
      </c>
    </row>
    <row r="1644" spans="1:9" s="2" customFormat="1" ht="21.75" customHeight="1">
      <c r="A1644" s="8" t="s">
        <v>11</v>
      </c>
      <c r="B1644" s="8" t="s">
        <v>41</v>
      </c>
      <c r="C1644" s="9" t="str">
        <f t="shared" si="32"/>
        <v>230110</v>
      </c>
      <c r="D1644" s="9" t="str">
        <f>"230916204"</f>
        <v>230916204</v>
      </c>
      <c r="E1644" s="10">
        <v>0</v>
      </c>
      <c r="F1644" s="10"/>
      <c r="G1644" s="10">
        <v>0</v>
      </c>
      <c r="H1644" s="10"/>
      <c r="I1644" s="10">
        <v>0</v>
      </c>
    </row>
    <row r="1645" spans="1:9" s="2" customFormat="1" ht="21.75" customHeight="1">
      <c r="A1645" s="8" t="s">
        <v>11</v>
      </c>
      <c r="B1645" s="8" t="s">
        <v>41</v>
      </c>
      <c r="C1645" s="9" t="str">
        <f t="shared" si="32"/>
        <v>230110</v>
      </c>
      <c r="D1645" s="9" t="str">
        <f>"230916205"</f>
        <v>230916205</v>
      </c>
      <c r="E1645" s="10">
        <v>0</v>
      </c>
      <c r="F1645" s="10"/>
      <c r="G1645" s="10">
        <v>0</v>
      </c>
      <c r="H1645" s="10"/>
      <c r="I1645" s="10">
        <v>0</v>
      </c>
    </row>
    <row r="1646" spans="1:9" s="2" customFormat="1" ht="21.75" customHeight="1">
      <c r="A1646" s="8" t="s">
        <v>11</v>
      </c>
      <c r="B1646" s="8" t="s">
        <v>41</v>
      </c>
      <c r="C1646" s="9" t="str">
        <f t="shared" si="32"/>
        <v>230110</v>
      </c>
      <c r="D1646" s="9" t="str">
        <f>"230916216"</f>
        <v>230916216</v>
      </c>
      <c r="E1646" s="10">
        <v>0</v>
      </c>
      <c r="F1646" s="10"/>
      <c r="G1646" s="10">
        <v>0</v>
      </c>
      <c r="H1646" s="10"/>
      <c r="I1646" s="10">
        <v>0</v>
      </c>
    </row>
    <row r="1647" spans="1:9" s="2" customFormat="1" ht="21.75" customHeight="1">
      <c r="A1647" s="8" t="s">
        <v>11</v>
      </c>
      <c r="B1647" s="8" t="s">
        <v>41</v>
      </c>
      <c r="C1647" s="9" t="str">
        <f t="shared" si="32"/>
        <v>230110</v>
      </c>
      <c r="D1647" s="9" t="str">
        <f>"230916224"</f>
        <v>230916224</v>
      </c>
      <c r="E1647" s="10">
        <v>0</v>
      </c>
      <c r="F1647" s="10"/>
      <c r="G1647" s="10">
        <v>0</v>
      </c>
      <c r="H1647" s="10"/>
      <c r="I1647" s="10">
        <v>0</v>
      </c>
    </row>
    <row r="1648" spans="1:9" s="3" customFormat="1" ht="21.75" customHeight="1">
      <c r="A1648" s="8" t="s">
        <v>11</v>
      </c>
      <c r="B1648" s="8" t="s">
        <v>41</v>
      </c>
      <c r="C1648" s="9" t="str">
        <f t="shared" si="32"/>
        <v>230110</v>
      </c>
      <c r="D1648" s="9" t="str">
        <f>"230916228"</f>
        <v>230916228</v>
      </c>
      <c r="E1648" s="10">
        <v>0</v>
      </c>
      <c r="F1648" s="10"/>
      <c r="G1648" s="10">
        <v>0</v>
      </c>
      <c r="H1648" s="10"/>
      <c r="I1648" s="10">
        <v>0</v>
      </c>
    </row>
    <row r="1649" spans="1:9" s="2" customFormat="1" ht="21.75" customHeight="1">
      <c r="A1649" s="8" t="s">
        <v>11</v>
      </c>
      <c r="B1649" s="8" t="s">
        <v>41</v>
      </c>
      <c r="C1649" s="9" t="str">
        <f t="shared" si="32"/>
        <v>230110</v>
      </c>
      <c r="D1649" s="9" t="str">
        <f>"230916230"</f>
        <v>230916230</v>
      </c>
      <c r="E1649" s="10">
        <v>0</v>
      </c>
      <c r="F1649" s="10"/>
      <c r="G1649" s="10">
        <v>0</v>
      </c>
      <c r="H1649" s="10"/>
      <c r="I1649" s="10">
        <v>0</v>
      </c>
    </row>
    <row r="1650" spans="1:9" s="2" customFormat="1" ht="21.75" customHeight="1">
      <c r="A1650" s="8" t="s">
        <v>11</v>
      </c>
      <c r="B1650" s="8" t="s">
        <v>41</v>
      </c>
      <c r="C1650" s="9" t="str">
        <f t="shared" si="32"/>
        <v>230110</v>
      </c>
      <c r="D1650" s="9" t="str">
        <f>"230916302"</f>
        <v>230916302</v>
      </c>
      <c r="E1650" s="10">
        <v>0</v>
      </c>
      <c r="F1650" s="10"/>
      <c r="G1650" s="10">
        <v>0</v>
      </c>
      <c r="H1650" s="10"/>
      <c r="I1650" s="10">
        <v>0</v>
      </c>
    </row>
    <row r="1651" spans="1:9" ht="21.75" customHeight="1">
      <c r="A1651" s="8" t="s">
        <v>11</v>
      </c>
      <c r="B1651" s="8" t="s">
        <v>10</v>
      </c>
      <c r="C1651" s="9" t="str">
        <f t="shared" ref="C1651:C1682" si="33">"230111"</f>
        <v>230111</v>
      </c>
      <c r="D1651" s="9" t="str">
        <f>"230900325"</f>
        <v>230900325</v>
      </c>
      <c r="E1651" s="10">
        <v>82.18</v>
      </c>
      <c r="F1651" s="10"/>
      <c r="G1651" s="10">
        <v>74.5</v>
      </c>
      <c r="H1651" s="10"/>
      <c r="I1651" s="10">
        <v>77.569999999999993</v>
      </c>
    </row>
    <row r="1652" spans="1:9" ht="21.75" customHeight="1">
      <c r="A1652" s="8" t="s">
        <v>11</v>
      </c>
      <c r="B1652" s="8" t="s">
        <v>10</v>
      </c>
      <c r="C1652" s="9" t="str">
        <f t="shared" si="33"/>
        <v>230111</v>
      </c>
      <c r="D1652" s="9" t="str">
        <f>"230900230"</f>
        <v>230900230</v>
      </c>
      <c r="E1652" s="10">
        <v>78.84</v>
      </c>
      <c r="F1652" s="10"/>
      <c r="G1652" s="10">
        <v>75.5</v>
      </c>
      <c r="H1652" s="10"/>
      <c r="I1652" s="10">
        <v>76.84</v>
      </c>
    </row>
    <row r="1653" spans="1:9" ht="21.75" customHeight="1">
      <c r="A1653" s="8" t="s">
        <v>11</v>
      </c>
      <c r="B1653" s="8" t="s">
        <v>10</v>
      </c>
      <c r="C1653" s="9" t="str">
        <f t="shared" si="33"/>
        <v>230111</v>
      </c>
      <c r="D1653" s="9" t="str">
        <f>"230900321"</f>
        <v>230900321</v>
      </c>
      <c r="E1653" s="10">
        <v>78.14</v>
      </c>
      <c r="F1653" s="10"/>
      <c r="G1653" s="10">
        <v>74</v>
      </c>
      <c r="H1653" s="10"/>
      <c r="I1653" s="10">
        <v>75.66</v>
      </c>
    </row>
    <row r="1654" spans="1:9" ht="21.75" customHeight="1">
      <c r="A1654" s="8" t="s">
        <v>11</v>
      </c>
      <c r="B1654" s="8" t="s">
        <v>10</v>
      </c>
      <c r="C1654" s="9" t="str">
        <f t="shared" si="33"/>
        <v>230111</v>
      </c>
      <c r="D1654" s="9" t="str">
        <f>"230900302"</f>
        <v>230900302</v>
      </c>
      <c r="E1654" s="10">
        <v>76.06</v>
      </c>
      <c r="F1654" s="10"/>
      <c r="G1654" s="10">
        <v>74</v>
      </c>
      <c r="H1654" s="10"/>
      <c r="I1654" s="10">
        <v>74.819999999999993</v>
      </c>
    </row>
    <row r="1655" spans="1:9" ht="21.75" customHeight="1">
      <c r="A1655" s="8" t="s">
        <v>11</v>
      </c>
      <c r="B1655" s="8" t="s">
        <v>10</v>
      </c>
      <c r="C1655" s="9" t="str">
        <f t="shared" si="33"/>
        <v>230111</v>
      </c>
      <c r="D1655" s="9" t="str">
        <f>"230900401"</f>
        <v>230900401</v>
      </c>
      <c r="E1655" s="10">
        <v>72.73</v>
      </c>
      <c r="F1655" s="10"/>
      <c r="G1655" s="10">
        <v>76</v>
      </c>
      <c r="H1655" s="10"/>
      <c r="I1655" s="10">
        <v>74.69</v>
      </c>
    </row>
    <row r="1656" spans="1:9" ht="21.75" customHeight="1">
      <c r="A1656" s="8" t="s">
        <v>11</v>
      </c>
      <c r="B1656" s="8" t="s">
        <v>10</v>
      </c>
      <c r="C1656" s="9" t="str">
        <f t="shared" si="33"/>
        <v>230111</v>
      </c>
      <c r="D1656" s="9" t="str">
        <f>"230900227"</f>
        <v>230900227</v>
      </c>
      <c r="E1656" s="10">
        <v>70.33</v>
      </c>
      <c r="F1656" s="10"/>
      <c r="G1656" s="10">
        <v>76.5</v>
      </c>
      <c r="H1656" s="10"/>
      <c r="I1656" s="10">
        <v>74.03</v>
      </c>
    </row>
    <row r="1657" spans="1:9" ht="21.75" customHeight="1">
      <c r="A1657" s="8" t="s">
        <v>11</v>
      </c>
      <c r="B1657" s="8" t="s">
        <v>10</v>
      </c>
      <c r="C1657" s="9" t="str">
        <f t="shared" si="33"/>
        <v>230111</v>
      </c>
      <c r="D1657" s="9" t="str">
        <f>"230900320"</f>
        <v>230900320</v>
      </c>
      <c r="E1657" s="10">
        <v>69.06</v>
      </c>
      <c r="F1657" s="10"/>
      <c r="G1657" s="10">
        <v>77</v>
      </c>
      <c r="H1657" s="10"/>
      <c r="I1657" s="10">
        <v>73.819999999999993</v>
      </c>
    </row>
    <row r="1658" spans="1:9" ht="21.75" customHeight="1">
      <c r="A1658" s="8" t="s">
        <v>11</v>
      </c>
      <c r="B1658" s="8" t="s">
        <v>10</v>
      </c>
      <c r="C1658" s="9" t="str">
        <f t="shared" si="33"/>
        <v>230111</v>
      </c>
      <c r="D1658" s="9" t="str">
        <f>"230900226"</f>
        <v>230900226</v>
      </c>
      <c r="E1658" s="10">
        <v>74.010000000000005</v>
      </c>
      <c r="F1658" s="10"/>
      <c r="G1658" s="10">
        <v>73.5</v>
      </c>
      <c r="H1658" s="10"/>
      <c r="I1658" s="10">
        <v>73.7</v>
      </c>
    </row>
    <row r="1659" spans="1:9" s="1" customFormat="1" ht="21.75" customHeight="1">
      <c r="A1659" s="8" t="s">
        <v>11</v>
      </c>
      <c r="B1659" s="8" t="s">
        <v>10</v>
      </c>
      <c r="C1659" s="9" t="str">
        <f t="shared" si="33"/>
        <v>230111</v>
      </c>
      <c r="D1659" s="9" t="str">
        <f>"230900229"</f>
        <v>230900229</v>
      </c>
      <c r="E1659" s="10">
        <v>82.88</v>
      </c>
      <c r="F1659" s="10"/>
      <c r="G1659" s="10">
        <v>67.5</v>
      </c>
      <c r="H1659" s="10"/>
      <c r="I1659" s="10">
        <v>73.650000000000006</v>
      </c>
    </row>
    <row r="1660" spans="1:9" ht="21.75" customHeight="1">
      <c r="A1660" s="8" t="s">
        <v>11</v>
      </c>
      <c r="B1660" s="8" t="s">
        <v>10</v>
      </c>
      <c r="C1660" s="9" t="str">
        <f t="shared" si="33"/>
        <v>230111</v>
      </c>
      <c r="D1660" s="9" t="str">
        <f>"230900428"</f>
        <v>230900428</v>
      </c>
      <c r="E1660" s="10">
        <v>70.900000000000006</v>
      </c>
      <c r="F1660" s="10"/>
      <c r="G1660" s="10">
        <v>75</v>
      </c>
      <c r="H1660" s="10"/>
      <c r="I1660" s="10">
        <v>73.36</v>
      </c>
    </row>
    <row r="1661" spans="1:9" ht="21.75" customHeight="1">
      <c r="A1661" s="8" t="s">
        <v>11</v>
      </c>
      <c r="B1661" s="8" t="s">
        <v>10</v>
      </c>
      <c r="C1661" s="9" t="str">
        <f t="shared" si="33"/>
        <v>230111</v>
      </c>
      <c r="D1661" s="9" t="str">
        <f>"230900429"</f>
        <v>230900429</v>
      </c>
      <c r="E1661" s="10">
        <v>75.510000000000005</v>
      </c>
      <c r="F1661" s="10"/>
      <c r="G1661" s="10">
        <v>71.5</v>
      </c>
      <c r="H1661" s="10"/>
      <c r="I1661" s="10">
        <v>73.099999999999994</v>
      </c>
    </row>
    <row r="1662" spans="1:9" s="1" customFormat="1" ht="21.75" customHeight="1">
      <c r="A1662" s="8" t="s">
        <v>11</v>
      </c>
      <c r="B1662" s="8" t="s">
        <v>10</v>
      </c>
      <c r="C1662" s="9" t="str">
        <f t="shared" si="33"/>
        <v>230111</v>
      </c>
      <c r="D1662" s="9" t="str">
        <f>"230900421"</f>
        <v>230900421</v>
      </c>
      <c r="E1662" s="10">
        <v>69.17</v>
      </c>
      <c r="F1662" s="10"/>
      <c r="G1662" s="10">
        <v>75</v>
      </c>
      <c r="H1662" s="10"/>
      <c r="I1662" s="10">
        <v>72.67</v>
      </c>
    </row>
    <row r="1663" spans="1:9" s="1" customFormat="1" ht="21.75" customHeight="1">
      <c r="A1663" s="8" t="s">
        <v>11</v>
      </c>
      <c r="B1663" s="8" t="s">
        <v>10</v>
      </c>
      <c r="C1663" s="9" t="str">
        <f t="shared" si="33"/>
        <v>230111</v>
      </c>
      <c r="D1663" s="9" t="str">
        <f>"230900404"</f>
        <v>230900404</v>
      </c>
      <c r="E1663" s="10">
        <v>67.2</v>
      </c>
      <c r="F1663" s="10"/>
      <c r="G1663" s="10">
        <v>76</v>
      </c>
      <c r="H1663" s="10"/>
      <c r="I1663" s="10">
        <v>72.48</v>
      </c>
    </row>
    <row r="1664" spans="1:9" ht="21.75" customHeight="1">
      <c r="A1664" s="8" t="s">
        <v>11</v>
      </c>
      <c r="B1664" s="8" t="s">
        <v>10</v>
      </c>
      <c r="C1664" s="9" t="str">
        <f t="shared" si="33"/>
        <v>230111</v>
      </c>
      <c r="D1664" s="9" t="str">
        <f>"230900408"</f>
        <v>230900408</v>
      </c>
      <c r="E1664" s="10">
        <v>71.48</v>
      </c>
      <c r="F1664" s="10"/>
      <c r="G1664" s="10">
        <v>73</v>
      </c>
      <c r="H1664" s="10"/>
      <c r="I1664" s="10">
        <v>72.39</v>
      </c>
    </row>
    <row r="1665" spans="1:9" s="1" customFormat="1" ht="21.75" customHeight="1">
      <c r="A1665" s="8" t="s">
        <v>11</v>
      </c>
      <c r="B1665" s="8" t="s">
        <v>10</v>
      </c>
      <c r="C1665" s="9" t="str">
        <f t="shared" si="33"/>
        <v>230111</v>
      </c>
      <c r="D1665" s="9" t="str">
        <f>"230900501"</f>
        <v>230900501</v>
      </c>
      <c r="E1665" s="10">
        <v>68.48</v>
      </c>
      <c r="F1665" s="10"/>
      <c r="G1665" s="10">
        <v>75</v>
      </c>
      <c r="H1665" s="10"/>
      <c r="I1665" s="10">
        <v>72.39</v>
      </c>
    </row>
    <row r="1666" spans="1:9" ht="21.75" customHeight="1">
      <c r="A1666" s="8" t="s">
        <v>11</v>
      </c>
      <c r="B1666" s="8" t="s">
        <v>10</v>
      </c>
      <c r="C1666" s="9" t="str">
        <f t="shared" si="33"/>
        <v>230111</v>
      </c>
      <c r="D1666" s="9" t="str">
        <f>"230900414"</f>
        <v>230900414</v>
      </c>
      <c r="E1666" s="10">
        <v>74.34</v>
      </c>
      <c r="F1666" s="10"/>
      <c r="G1666" s="10">
        <v>71</v>
      </c>
      <c r="H1666" s="10"/>
      <c r="I1666" s="10">
        <v>72.34</v>
      </c>
    </row>
    <row r="1667" spans="1:9" ht="21.75" customHeight="1">
      <c r="A1667" s="8" t="s">
        <v>11</v>
      </c>
      <c r="B1667" s="8" t="s">
        <v>10</v>
      </c>
      <c r="C1667" s="9" t="str">
        <f t="shared" si="33"/>
        <v>230111</v>
      </c>
      <c r="D1667" s="9" t="str">
        <f>"230900410"</f>
        <v>230900410</v>
      </c>
      <c r="E1667" s="10">
        <v>64.459999999999994</v>
      </c>
      <c r="F1667" s="10"/>
      <c r="G1667" s="10">
        <v>77.5</v>
      </c>
      <c r="H1667" s="10"/>
      <c r="I1667" s="10">
        <v>72.28</v>
      </c>
    </row>
    <row r="1668" spans="1:9" ht="21.75" customHeight="1">
      <c r="A1668" s="8" t="s">
        <v>11</v>
      </c>
      <c r="B1668" s="8" t="s">
        <v>10</v>
      </c>
      <c r="C1668" s="9" t="str">
        <f t="shared" si="33"/>
        <v>230111</v>
      </c>
      <c r="D1668" s="9" t="str">
        <f>"230900305"</f>
        <v>230900305</v>
      </c>
      <c r="E1668" s="10">
        <v>75.5</v>
      </c>
      <c r="F1668" s="10"/>
      <c r="G1668" s="10">
        <v>69.5</v>
      </c>
      <c r="H1668" s="10"/>
      <c r="I1668" s="10">
        <v>71.900000000000006</v>
      </c>
    </row>
    <row r="1669" spans="1:9" s="1" customFormat="1" ht="21.75" customHeight="1">
      <c r="A1669" s="8" t="s">
        <v>11</v>
      </c>
      <c r="B1669" s="8" t="s">
        <v>10</v>
      </c>
      <c r="C1669" s="9" t="str">
        <f t="shared" si="33"/>
        <v>230111</v>
      </c>
      <c r="D1669" s="9" t="str">
        <f>"230900304"</f>
        <v>230900304</v>
      </c>
      <c r="E1669" s="10">
        <v>77.569999999999993</v>
      </c>
      <c r="F1669" s="10"/>
      <c r="G1669" s="10">
        <v>68</v>
      </c>
      <c r="H1669" s="10"/>
      <c r="I1669" s="10">
        <v>71.83</v>
      </c>
    </row>
    <row r="1670" spans="1:9" ht="21.75" customHeight="1">
      <c r="A1670" s="8" t="s">
        <v>11</v>
      </c>
      <c r="B1670" s="8" t="s">
        <v>10</v>
      </c>
      <c r="C1670" s="9" t="str">
        <f t="shared" si="33"/>
        <v>230111</v>
      </c>
      <c r="D1670" s="9" t="str">
        <f>"230900326"</f>
        <v>230900326</v>
      </c>
      <c r="E1670" s="10">
        <v>76.64</v>
      </c>
      <c r="F1670" s="10"/>
      <c r="G1670" s="10">
        <v>68.5</v>
      </c>
      <c r="H1670" s="10"/>
      <c r="I1670" s="10">
        <v>71.760000000000005</v>
      </c>
    </row>
    <row r="1671" spans="1:9" ht="21.75" customHeight="1">
      <c r="A1671" s="8" t="s">
        <v>11</v>
      </c>
      <c r="B1671" s="8" t="s">
        <v>10</v>
      </c>
      <c r="C1671" s="9" t="str">
        <f t="shared" si="33"/>
        <v>230111</v>
      </c>
      <c r="D1671" s="9" t="str">
        <f>"230900313"</f>
        <v>230900313</v>
      </c>
      <c r="E1671" s="10">
        <v>71.23</v>
      </c>
      <c r="F1671" s="10"/>
      <c r="G1671" s="10">
        <v>72</v>
      </c>
      <c r="H1671" s="10"/>
      <c r="I1671" s="10">
        <v>71.69</v>
      </c>
    </row>
    <row r="1672" spans="1:9" ht="21.75" customHeight="1">
      <c r="A1672" s="8" t="s">
        <v>11</v>
      </c>
      <c r="B1672" s="8" t="s">
        <v>10</v>
      </c>
      <c r="C1672" s="9" t="str">
        <f t="shared" si="33"/>
        <v>230111</v>
      </c>
      <c r="D1672" s="9" t="str">
        <f>"230900405"</f>
        <v>230900405</v>
      </c>
      <c r="E1672" s="10">
        <v>71.930000000000007</v>
      </c>
      <c r="F1672" s="10"/>
      <c r="G1672" s="10">
        <v>71</v>
      </c>
      <c r="H1672" s="10"/>
      <c r="I1672" s="10">
        <v>71.37</v>
      </c>
    </row>
    <row r="1673" spans="1:9" ht="21.75" customHeight="1">
      <c r="A1673" s="8" t="s">
        <v>11</v>
      </c>
      <c r="B1673" s="8" t="s">
        <v>10</v>
      </c>
      <c r="C1673" s="9" t="str">
        <f t="shared" si="33"/>
        <v>230111</v>
      </c>
      <c r="D1673" s="9" t="str">
        <f>"230900307"</f>
        <v>230900307</v>
      </c>
      <c r="E1673" s="10">
        <v>69.400000000000006</v>
      </c>
      <c r="F1673" s="10"/>
      <c r="G1673" s="10">
        <v>72.5</v>
      </c>
      <c r="H1673" s="10"/>
      <c r="I1673" s="10">
        <v>71.260000000000005</v>
      </c>
    </row>
    <row r="1674" spans="1:9" s="1" customFormat="1" ht="21.75" customHeight="1">
      <c r="A1674" s="8" t="s">
        <v>11</v>
      </c>
      <c r="B1674" s="8" t="s">
        <v>10</v>
      </c>
      <c r="C1674" s="9" t="str">
        <f t="shared" si="33"/>
        <v>230111</v>
      </c>
      <c r="D1674" s="9" t="str">
        <f>"230900417"</f>
        <v>230900417</v>
      </c>
      <c r="E1674" s="10">
        <v>74.22</v>
      </c>
      <c r="F1674" s="10"/>
      <c r="G1674" s="10">
        <v>69</v>
      </c>
      <c r="H1674" s="10"/>
      <c r="I1674" s="10">
        <v>71.09</v>
      </c>
    </row>
    <row r="1675" spans="1:9" ht="21.75" customHeight="1">
      <c r="A1675" s="8" t="s">
        <v>11</v>
      </c>
      <c r="B1675" s="8" t="s">
        <v>10</v>
      </c>
      <c r="C1675" s="9" t="str">
        <f t="shared" si="33"/>
        <v>230111</v>
      </c>
      <c r="D1675" s="9" t="str">
        <f>"230900413"</f>
        <v>230900413</v>
      </c>
      <c r="E1675" s="10">
        <v>64.819999999999993</v>
      </c>
      <c r="F1675" s="10"/>
      <c r="G1675" s="10">
        <v>75</v>
      </c>
      <c r="H1675" s="10"/>
      <c r="I1675" s="10">
        <v>70.930000000000007</v>
      </c>
    </row>
    <row r="1676" spans="1:9" ht="21.75" customHeight="1">
      <c r="A1676" s="8" t="s">
        <v>11</v>
      </c>
      <c r="B1676" s="8" t="s">
        <v>10</v>
      </c>
      <c r="C1676" s="9" t="str">
        <f t="shared" si="33"/>
        <v>230111</v>
      </c>
      <c r="D1676" s="9" t="str">
        <f>"230900402"</f>
        <v>230900402</v>
      </c>
      <c r="E1676" s="10">
        <v>73.67</v>
      </c>
      <c r="F1676" s="10"/>
      <c r="G1676" s="10">
        <v>69</v>
      </c>
      <c r="H1676" s="10"/>
      <c r="I1676" s="10">
        <v>70.87</v>
      </c>
    </row>
    <row r="1677" spans="1:9" s="1" customFormat="1" ht="21.75" customHeight="1">
      <c r="A1677" s="8" t="s">
        <v>11</v>
      </c>
      <c r="B1677" s="8" t="s">
        <v>10</v>
      </c>
      <c r="C1677" s="9" t="str">
        <f t="shared" si="33"/>
        <v>230111</v>
      </c>
      <c r="D1677" s="9" t="str">
        <f>"230900312"</f>
        <v>230900312</v>
      </c>
      <c r="E1677" s="10">
        <v>69.75</v>
      </c>
      <c r="F1677" s="10"/>
      <c r="G1677" s="10">
        <v>71.5</v>
      </c>
      <c r="H1677" s="10"/>
      <c r="I1677" s="10">
        <v>70.8</v>
      </c>
    </row>
    <row r="1678" spans="1:9" ht="21.75" customHeight="1">
      <c r="A1678" s="8" t="s">
        <v>11</v>
      </c>
      <c r="B1678" s="8" t="s">
        <v>10</v>
      </c>
      <c r="C1678" s="9" t="str">
        <f t="shared" si="33"/>
        <v>230111</v>
      </c>
      <c r="D1678" s="9" t="str">
        <f>"230900324"</f>
        <v>230900324</v>
      </c>
      <c r="E1678" s="10">
        <v>63.31</v>
      </c>
      <c r="F1678" s="10"/>
      <c r="G1678" s="10">
        <v>75.5</v>
      </c>
      <c r="H1678" s="10"/>
      <c r="I1678" s="10">
        <v>70.62</v>
      </c>
    </row>
    <row r="1679" spans="1:9" ht="21.75" customHeight="1">
      <c r="A1679" s="8" t="s">
        <v>11</v>
      </c>
      <c r="B1679" s="8" t="s">
        <v>10</v>
      </c>
      <c r="C1679" s="9" t="str">
        <f t="shared" si="33"/>
        <v>230111</v>
      </c>
      <c r="D1679" s="9" t="str">
        <f>"230900301"</f>
        <v>230900301</v>
      </c>
      <c r="E1679" s="10">
        <v>72.16</v>
      </c>
      <c r="F1679" s="10"/>
      <c r="G1679" s="10">
        <v>69</v>
      </c>
      <c r="H1679" s="10"/>
      <c r="I1679" s="10">
        <v>70.260000000000005</v>
      </c>
    </row>
    <row r="1680" spans="1:9" ht="21.75" customHeight="1">
      <c r="A1680" s="8" t="s">
        <v>11</v>
      </c>
      <c r="B1680" s="8" t="s">
        <v>10</v>
      </c>
      <c r="C1680" s="9" t="str">
        <f t="shared" si="33"/>
        <v>230111</v>
      </c>
      <c r="D1680" s="9" t="str">
        <f>"230900310"</f>
        <v>230900310</v>
      </c>
      <c r="E1680" s="10">
        <v>66.08</v>
      </c>
      <c r="F1680" s="10"/>
      <c r="G1680" s="10">
        <v>73</v>
      </c>
      <c r="H1680" s="10"/>
      <c r="I1680" s="10">
        <v>70.23</v>
      </c>
    </row>
    <row r="1681" spans="1:9" ht="21.75" customHeight="1">
      <c r="A1681" s="8" t="s">
        <v>11</v>
      </c>
      <c r="B1681" s="8" t="s">
        <v>10</v>
      </c>
      <c r="C1681" s="9" t="str">
        <f t="shared" si="33"/>
        <v>230111</v>
      </c>
      <c r="D1681" s="9" t="str">
        <f>"230900322"</f>
        <v>230900322</v>
      </c>
      <c r="E1681" s="10">
        <v>63.64</v>
      </c>
      <c r="F1681" s="10"/>
      <c r="G1681" s="10">
        <v>74.5</v>
      </c>
      <c r="H1681" s="10"/>
      <c r="I1681" s="10">
        <v>70.16</v>
      </c>
    </row>
    <row r="1682" spans="1:9" ht="21.75" customHeight="1">
      <c r="A1682" s="8" t="s">
        <v>11</v>
      </c>
      <c r="B1682" s="8" t="s">
        <v>10</v>
      </c>
      <c r="C1682" s="9" t="str">
        <f t="shared" si="33"/>
        <v>230111</v>
      </c>
      <c r="D1682" s="9" t="str">
        <f>"230900420"</f>
        <v>230900420</v>
      </c>
      <c r="E1682" s="10">
        <v>67.209999999999994</v>
      </c>
      <c r="F1682" s="10"/>
      <c r="G1682" s="10">
        <v>72</v>
      </c>
      <c r="H1682" s="10"/>
      <c r="I1682" s="10">
        <v>70.08</v>
      </c>
    </row>
    <row r="1683" spans="1:9" ht="21.75" customHeight="1">
      <c r="A1683" s="8" t="s">
        <v>11</v>
      </c>
      <c r="B1683" s="8" t="s">
        <v>10</v>
      </c>
      <c r="C1683" s="9" t="str">
        <f t="shared" ref="C1683:C1717" si="34">"230111"</f>
        <v>230111</v>
      </c>
      <c r="D1683" s="9" t="str">
        <f>"230900424"</f>
        <v>230900424</v>
      </c>
      <c r="E1683" s="10">
        <v>67.55</v>
      </c>
      <c r="F1683" s="10"/>
      <c r="G1683" s="10">
        <v>71.5</v>
      </c>
      <c r="H1683" s="10"/>
      <c r="I1683" s="10">
        <v>69.92</v>
      </c>
    </row>
    <row r="1684" spans="1:9" ht="21.75" customHeight="1">
      <c r="A1684" s="8" t="s">
        <v>11</v>
      </c>
      <c r="B1684" s="8" t="s">
        <v>10</v>
      </c>
      <c r="C1684" s="9" t="str">
        <f t="shared" si="34"/>
        <v>230111</v>
      </c>
      <c r="D1684" s="9" t="str">
        <f>"230900418"</f>
        <v>230900418</v>
      </c>
      <c r="E1684" s="10">
        <v>67</v>
      </c>
      <c r="F1684" s="10"/>
      <c r="G1684" s="10">
        <v>70.5</v>
      </c>
      <c r="H1684" s="10"/>
      <c r="I1684" s="10">
        <v>69.099999999999994</v>
      </c>
    </row>
    <row r="1685" spans="1:9" s="1" customFormat="1" ht="21.75" customHeight="1">
      <c r="A1685" s="8" t="s">
        <v>11</v>
      </c>
      <c r="B1685" s="8" t="s">
        <v>10</v>
      </c>
      <c r="C1685" s="9" t="str">
        <f t="shared" si="34"/>
        <v>230111</v>
      </c>
      <c r="D1685" s="9" t="str">
        <f>"230900330"</f>
        <v>230900330</v>
      </c>
      <c r="E1685" s="10">
        <v>60.21</v>
      </c>
      <c r="F1685" s="10"/>
      <c r="G1685" s="10">
        <v>75</v>
      </c>
      <c r="H1685" s="10"/>
      <c r="I1685" s="10">
        <v>69.08</v>
      </c>
    </row>
    <row r="1686" spans="1:9" ht="21.75" customHeight="1">
      <c r="A1686" s="8" t="s">
        <v>11</v>
      </c>
      <c r="B1686" s="8" t="s">
        <v>10</v>
      </c>
      <c r="C1686" s="9" t="str">
        <f t="shared" si="34"/>
        <v>230111</v>
      </c>
      <c r="D1686" s="9" t="str">
        <f>"230900329"</f>
        <v>230900329</v>
      </c>
      <c r="E1686" s="10">
        <v>76.41</v>
      </c>
      <c r="F1686" s="10"/>
      <c r="G1686" s="10">
        <v>64</v>
      </c>
      <c r="H1686" s="10"/>
      <c r="I1686" s="10">
        <v>68.959999999999994</v>
      </c>
    </row>
    <row r="1687" spans="1:9" ht="21.75" customHeight="1">
      <c r="A1687" s="8" t="s">
        <v>11</v>
      </c>
      <c r="B1687" s="8" t="s">
        <v>10</v>
      </c>
      <c r="C1687" s="9" t="str">
        <f t="shared" si="34"/>
        <v>230111</v>
      </c>
      <c r="D1687" s="9" t="str">
        <f>"230900309"</f>
        <v>230900309</v>
      </c>
      <c r="E1687" s="10">
        <v>64.44</v>
      </c>
      <c r="F1687" s="10"/>
      <c r="G1687" s="10">
        <v>71</v>
      </c>
      <c r="H1687" s="10"/>
      <c r="I1687" s="10">
        <v>68.38</v>
      </c>
    </row>
    <row r="1688" spans="1:9" s="1" customFormat="1" ht="21.75" customHeight="1">
      <c r="A1688" s="8" t="s">
        <v>11</v>
      </c>
      <c r="B1688" s="8" t="s">
        <v>10</v>
      </c>
      <c r="C1688" s="9" t="str">
        <f t="shared" si="34"/>
        <v>230111</v>
      </c>
      <c r="D1688" s="9" t="str">
        <f>"230900430"</f>
        <v>230900430</v>
      </c>
      <c r="E1688" s="10">
        <v>64.8</v>
      </c>
      <c r="F1688" s="10"/>
      <c r="G1688" s="10">
        <v>70</v>
      </c>
      <c r="H1688" s="10"/>
      <c r="I1688" s="10">
        <v>67.92</v>
      </c>
    </row>
    <row r="1689" spans="1:9" s="1" customFormat="1" ht="21.75" customHeight="1">
      <c r="A1689" s="8" t="s">
        <v>11</v>
      </c>
      <c r="B1689" s="8" t="s">
        <v>10</v>
      </c>
      <c r="C1689" s="9" t="str">
        <f t="shared" si="34"/>
        <v>230111</v>
      </c>
      <c r="D1689" s="9" t="str">
        <f>"230900319"</f>
        <v>230900319</v>
      </c>
      <c r="E1689" s="10">
        <v>59.76</v>
      </c>
      <c r="F1689" s="10"/>
      <c r="G1689" s="10">
        <v>73</v>
      </c>
      <c r="H1689" s="10"/>
      <c r="I1689" s="10">
        <v>67.7</v>
      </c>
    </row>
    <row r="1690" spans="1:9" ht="21.75" customHeight="1">
      <c r="A1690" s="8" t="s">
        <v>11</v>
      </c>
      <c r="B1690" s="8" t="s">
        <v>10</v>
      </c>
      <c r="C1690" s="9" t="str">
        <f t="shared" si="34"/>
        <v>230111</v>
      </c>
      <c r="D1690" s="9" t="str">
        <f>"230900228"</f>
        <v>230900228</v>
      </c>
      <c r="E1690" s="10">
        <v>67</v>
      </c>
      <c r="F1690" s="10"/>
      <c r="G1690" s="10">
        <v>68</v>
      </c>
      <c r="H1690" s="10"/>
      <c r="I1690" s="10">
        <v>67.599999999999994</v>
      </c>
    </row>
    <row r="1691" spans="1:9" ht="21.75" customHeight="1">
      <c r="A1691" s="8" t="s">
        <v>11</v>
      </c>
      <c r="B1691" s="8" t="s">
        <v>10</v>
      </c>
      <c r="C1691" s="9" t="str">
        <f t="shared" si="34"/>
        <v>230111</v>
      </c>
      <c r="D1691" s="9" t="str">
        <f>"230900308"</f>
        <v>230900308</v>
      </c>
      <c r="E1691" s="10">
        <v>67.790000000000006</v>
      </c>
      <c r="F1691" s="10"/>
      <c r="G1691" s="10">
        <v>67</v>
      </c>
      <c r="H1691" s="10"/>
      <c r="I1691" s="10">
        <v>67.319999999999993</v>
      </c>
    </row>
    <row r="1692" spans="1:9" ht="21.75" customHeight="1">
      <c r="A1692" s="8" t="s">
        <v>11</v>
      </c>
      <c r="B1692" s="8" t="s">
        <v>10</v>
      </c>
      <c r="C1692" s="9" t="str">
        <f t="shared" si="34"/>
        <v>230111</v>
      </c>
      <c r="D1692" s="9" t="str">
        <f>"230900318"</f>
        <v>230900318</v>
      </c>
      <c r="E1692" s="10">
        <v>62.05</v>
      </c>
      <c r="F1692" s="10"/>
      <c r="G1692" s="10">
        <v>70.5</v>
      </c>
      <c r="H1692" s="10"/>
      <c r="I1692" s="10">
        <v>67.12</v>
      </c>
    </row>
    <row r="1693" spans="1:9" ht="21.75" customHeight="1">
      <c r="A1693" s="8" t="s">
        <v>11</v>
      </c>
      <c r="B1693" s="8" t="s">
        <v>10</v>
      </c>
      <c r="C1693" s="9" t="str">
        <f t="shared" si="34"/>
        <v>230111</v>
      </c>
      <c r="D1693" s="9" t="str">
        <f>"230900422"</f>
        <v>230900422</v>
      </c>
      <c r="E1693" s="10">
        <v>56.64</v>
      </c>
      <c r="F1693" s="10"/>
      <c r="G1693" s="10">
        <v>73.5</v>
      </c>
      <c r="H1693" s="10"/>
      <c r="I1693" s="10">
        <v>66.760000000000005</v>
      </c>
    </row>
    <row r="1694" spans="1:9" ht="21.75" customHeight="1">
      <c r="A1694" s="8" t="s">
        <v>11</v>
      </c>
      <c r="B1694" s="8" t="s">
        <v>10</v>
      </c>
      <c r="C1694" s="9" t="str">
        <f t="shared" si="34"/>
        <v>230111</v>
      </c>
      <c r="D1694" s="9" t="str">
        <f>"230900327"</f>
        <v>230900327</v>
      </c>
      <c r="E1694" s="10">
        <v>63.53</v>
      </c>
      <c r="F1694" s="10"/>
      <c r="G1694" s="10">
        <v>67.5</v>
      </c>
      <c r="H1694" s="10"/>
      <c r="I1694" s="10">
        <v>65.91</v>
      </c>
    </row>
    <row r="1695" spans="1:9" ht="21.75" customHeight="1">
      <c r="A1695" s="8" t="s">
        <v>11</v>
      </c>
      <c r="B1695" s="8" t="s">
        <v>10</v>
      </c>
      <c r="C1695" s="9" t="str">
        <f t="shared" si="34"/>
        <v>230111</v>
      </c>
      <c r="D1695" s="9" t="str">
        <f>"230900306"</f>
        <v>230900306</v>
      </c>
      <c r="E1695" s="10">
        <v>68.94</v>
      </c>
      <c r="F1695" s="10"/>
      <c r="G1695" s="10">
        <v>63.5</v>
      </c>
      <c r="H1695" s="10"/>
      <c r="I1695" s="10">
        <v>65.680000000000007</v>
      </c>
    </row>
    <row r="1696" spans="1:9" s="1" customFormat="1" ht="21.75" customHeight="1">
      <c r="A1696" s="8" t="s">
        <v>11</v>
      </c>
      <c r="B1696" s="8" t="s">
        <v>10</v>
      </c>
      <c r="C1696" s="9" t="str">
        <f t="shared" si="34"/>
        <v>230111</v>
      </c>
      <c r="D1696" s="9" t="str">
        <f>"230900416"</f>
        <v>230900416</v>
      </c>
      <c r="E1696" s="10">
        <v>60.33</v>
      </c>
      <c r="F1696" s="10"/>
      <c r="G1696" s="10">
        <v>68.5</v>
      </c>
      <c r="H1696" s="10"/>
      <c r="I1696" s="10">
        <v>65.23</v>
      </c>
    </row>
    <row r="1697" spans="1:9" ht="21.75" customHeight="1">
      <c r="A1697" s="8" t="s">
        <v>11</v>
      </c>
      <c r="B1697" s="8" t="s">
        <v>10</v>
      </c>
      <c r="C1697" s="9" t="str">
        <f t="shared" si="34"/>
        <v>230111</v>
      </c>
      <c r="D1697" s="9" t="str">
        <f>"230900425"</f>
        <v>230900425</v>
      </c>
      <c r="E1697" s="10">
        <v>60.2</v>
      </c>
      <c r="F1697" s="10"/>
      <c r="G1697" s="10">
        <v>68.5</v>
      </c>
      <c r="H1697" s="10"/>
      <c r="I1697" s="10">
        <v>65.180000000000007</v>
      </c>
    </row>
    <row r="1698" spans="1:9" ht="21.75" customHeight="1">
      <c r="A1698" s="8" t="s">
        <v>11</v>
      </c>
      <c r="B1698" s="8" t="s">
        <v>10</v>
      </c>
      <c r="C1698" s="9" t="str">
        <f t="shared" si="34"/>
        <v>230111</v>
      </c>
      <c r="D1698" s="9" t="str">
        <f>"230900328"</f>
        <v>230900328</v>
      </c>
      <c r="E1698" s="10">
        <v>60.2</v>
      </c>
      <c r="F1698" s="10"/>
      <c r="G1698" s="10">
        <v>67</v>
      </c>
      <c r="H1698" s="10"/>
      <c r="I1698" s="10">
        <v>64.28</v>
      </c>
    </row>
    <row r="1699" spans="1:9" ht="21.75" customHeight="1">
      <c r="A1699" s="8" t="s">
        <v>11</v>
      </c>
      <c r="B1699" s="8" t="s">
        <v>10</v>
      </c>
      <c r="C1699" s="9" t="str">
        <f t="shared" si="34"/>
        <v>230111</v>
      </c>
      <c r="D1699" s="9" t="str">
        <f>"230900415"</f>
        <v>230900415</v>
      </c>
      <c r="E1699" s="10">
        <v>61.32</v>
      </c>
      <c r="F1699" s="10"/>
      <c r="G1699" s="10">
        <v>65.5</v>
      </c>
      <c r="H1699" s="10"/>
      <c r="I1699" s="10">
        <v>63.83</v>
      </c>
    </row>
    <row r="1700" spans="1:9" s="1" customFormat="1" ht="21.75" customHeight="1">
      <c r="A1700" s="8" t="s">
        <v>11</v>
      </c>
      <c r="B1700" s="8" t="s">
        <v>10</v>
      </c>
      <c r="C1700" s="9" t="str">
        <f t="shared" si="34"/>
        <v>230111</v>
      </c>
      <c r="D1700" s="9" t="str">
        <f>"230900427"</f>
        <v>230900427</v>
      </c>
      <c r="E1700" s="10">
        <v>55.82</v>
      </c>
      <c r="F1700" s="10"/>
      <c r="G1700" s="10">
        <v>67.5</v>
      </c>
      <c r="H1700" s="10"/>
      <c r="I1700" s="10">
        <v>62.83</v>
      </c>
    </row>
    <row r="1701" spans="1:9" ht="21.75" customHeight="1">
      <c r="A1701" s="8" t="s">
        <v>11</v>
      </c>
      <c r="B1701" s="8" t="s">
        <v>10</v>
      </c>
      <c r="C1701" s="9" t="str">
        <f t="shared" si="34"/>
        <v>230111</v>
      </c>
      <c r="D1701" s="9" t="str">
        <f>"230900315"</f>
        <v>230900315</v>
      </c>
      <c r="E1701" s="10">
        <v>64.11</v>
      </c>
      <c r="F1701" s="10"/>
      <c r="G1701" s="10">
        <v>61.5</v>
      </c>
      <c r="H1701" s="10"/>
      <c r="I1701" s="10">
        <v>62.54</v>
      </c>
    </row>
    <row r="1702" spans="1:9" ht="21.75" customHeight="1">
      <c r="A1702" s="8" t="s">
        <v>11</v>
      </c>
      <c r="B1702" s="8" t="s">
        <v>10</v>
      </c>
      <c r="C1702" s="9" t="str">
        <f t="shared" si="34"/>
        <v>230111</v>
      </c>
      <c r="D1702" s="9" t="str">
        <f>"230900406"</f>
        <v>230900406</v>
      </c>
      <c r="E1702" s="10">
        <v>69.040000000000006</v>
      </c>
      <c r="F1702" s="10"/>
      <c r="G1702" s="10">
        <v>51.5</v>
      </c>
      <c r="H1702" s="10"/>
      <c r="I1702" s="10">
        <v>58.52</v>
      </c>
    </row>
    <row r="1703" spans="1:9" ht="21.75" customHeight="1">
      <c r="A1703" s="8" t="s">
        <v>11</v>
      </c>
      <c r="B1703" s="8" t="s">
        <v>10</v>
      </c>
      <c r="C1703" s="9" t="str">
        <f t="shared" si="34"/>
        <v>230111</v>
      </c>
      <c r="D1703" s="9" t="str">
        <f>"230900225"</f>
        <v>230900225</v>
      </c>
      <c r="E1703" s="10">
        <v>0</v>
      </c>
      <c r="F1703" s="10"/>
      <c r="G1703" s="10">
        <v>0</v>
      </c>
      <c r="H1703" s="10"/>
      <c r="I1703" s="10">
        <v>0</v>
      </c>
    </row>
    <row r="1704" spans="1:9" ht="21.75" customHeight="1">
      <c r="A1704" s="8" t="s">
        <v>11</v>
      </c>
      <c r="B1704" s="8" t="s">
        <v>10</v>
      </c>
      <c r="C1704" s="9" t="str">
        <f t="shared" si="34"/>
        <v>230111</v>
      </c>
      <c r="D1704" s="9" t="str">
        <f>"230900303"</f>
        <v>230900303</v>
      </c>
      <c r="E1704" s="10">
        <v>0</v>
      </c>
      <c r="F1704" s="10"/>
      <c r="G1704" s="10">
        <v>0</v>
      </c>
      <c r="H1704" s="10"/>
      <c r="I1704" s="10">
        <v>0</v>
      </c>
    </row>
    <row r="1705" spans="1:9" ht="21.75" customHeight="1">
      <c r="A1705" s="8" t="s">
        <v>11</v>
      </c>
      <c r="B1705" s="8" t="s">
        <v>10</v>
      </c>
      <c r="C1705" s="9" t="str">
        <f t="shared" si="34"/>
        <v>230111</v>
      </c>
      <c r="D1705" s="9" t="str">
        <f>"230900311"</f>
        <v>230900311</v>
      </c>
      <c r="E1705" s="10">
        <v>0</v>
      </c>
      <c r="F1705" s="10"/>
      <c r="G1705" s="10">
        <v>0</v>
      </c>
      <c r="H1705" s="10"/>
      <c r="I1705" s="10">
        <v>0</v>
      </c>
    </row>
    <row r="1706" spans="1:9" ht="21.75" customHeight="1">
      <c r="A1706" s="8" t="s">
        <v>11</v>
      </c>
      <c r="B1706" s="8" t="s">
        <v>10</v>
      </c>
      <c r="C1706" s="9" t="str">
        <f t="shared" si="34"/>
        <v>230111</v>
      </c>
      <c r="D1706" s="9" t="str">
        <f>"230900314"</f>
        <v>230900314</v>
      </c>
      <c r="E1706" s="10">
        <v>0</v>
      </c>
      <c r="F1706" s="10"/>
      <c r="G1706" s="10">
        <v>0</v>
      </c>
      <c r="H1706" s="10"/>
      <c r="I1706" s="10">
        <v>0</v>
      </c>
    </row>
    <row r="1707" spans="1:9" ht="21.75" customHeight="1">
      <c r="A1707" s="8" t="s">
        <v>11</v>
      </c>
      <c r="B1707" s="8" t="s">
        <v>10</v>
      </c>
      <c r="C1707" s="9" t="str">
        <f t="shared" si="34"/>
        <v>230111</v>
      </c>
      <c r="D1707" s="9" t="str">
        <f>"230900316"</f>
        <v>230900316</v>
      </c>
      <c r="E1707" s="10">
        <v>0</v>
      </c>
      <c r="F1707" s="10"/>
      <c r="G1707" s="10">
        <v>0</v>
      </c>
      <c r="H1707" s="10"/>
      <c r="I1707" s="10">
        <v>0</v>
      </c>
    </row>
    <row r="1708" spans="1:9" s="1" customFormat="1" ht="21.75" customHeight="1">
      <c r="A1708" s="8" t="s">
        <v>11</v>
      </c>
      <c r="B1708" s="8" t="s">
        <v>10</v>
      </c>
      <c r="C1708" s="9" t="str">
        <f t="shared" si="34"/>
        <v>230111</v>
      </c>
      <c r="D1708" s="9" t="str">
        <f>"230900317"</f>
        <v>230900317</v>
      </c>
      <c r="E1708" s="10">
        <v>0</v>
      </c>
      <c r="F1708" s="10"/>
      <c r="G1708" s="10">
        <v>0</v>
      </c>
      <c r="H1708" s="10"/>
      <c r="I1708" s="10">
        <v>0</v>
      </c>
    </row>
    <row r="1709" spans="1:9" s="1" customFormat="1" ht="21.75" customHeight="1">
      <c r="A1709" s="8" t="s">
        <v>11</v>
      </c>
      <c r="B1709" s="8" t="s">
        <v>10</v>
      </c>
      <c r="C1709" s="9" t="str">
        <f t="shared" si="34"/>
        <v>230111</v>
      </c>
      <c r="D1709" s="9" t="str">
        <f>"230900323"</f>
        <v>230900323</v>
      </c>
      <c r="E1709" s="10">
        <v>0</v>
      </c>
      <c r="F1709" s="10"/>
      <c r="G1709" s="10">
        <v>0</v>
      </c>
      <c r="H1709" s="10"/>
      <c r="I1709" s="10">
        <v>0</v>
      </c>
    </row>
    <row r="1710" spans="1:9" s="1" customFormat="1" ht="21.75" customHeight="1">
      <c r="A1710" s="8" t="s">
        <v>11</v>
      </c>
      <c r="B1710" s="8" t="s">
        <v>10</v>
      </c>
      <c r="C1710" s="9" t="str">
        <f t="shared" si="34"/>
        <v>230111</v>
      </c>
      <c r="D1710" s="9" t="str">
        <f>"230900403"</f>
        <v>230900403</v>
      </c>
      <c r="E1710" s="10">
        <v>0</v>
      </c>
      <c r="F1710" s="10"/>
      <c r="G1710" s="10">
        <v>0</v>
      </c>
      <c r="H1710" s="10"/>
      <c r="I1710" s="10">
        <v>0</v>
      </c>
    </row>
    <row r="1711" spans="1:9" ht="21.75" customHeight="1">
      <c r="A1711" s="8" t="s">
        <v>11</v>
      </c>
      <c r="B1711" s="8" t="s">
        <v>10</v>
      </c>
      <c r="C1711" s="9" t="str">
        <f t="shared" si="34"/>
        <v>230111</v>
      </c>
      <c r="D1711" s="9" t="str">
        <f>"230900407"</f>
        <v>230900407</v>
      </c>
      <c r="E1711" s="10">
        <v>0</v>
      </c>
      <c r="F1711" s="10"/>
      <c r="G1711" s="10">
        <v>0</v>
      </c>
      <c r="H1711" s="10"/>
      <c r="I1711" s="10">
        <v>0</v>
      </c>
    </row>
    <row r="1712" spans="1:9" s="1" customFormat="1" ht="21.75" customHeight="1">
      <c r="A1712" s="8" t="s">
        <v>11</v>
      </c>
      <c r="B1712" s="8" t="s">
        <v>10</v>
      </c>
      <c r="C1712" s="9" t="str">
        <f t="shared" si="34"/>
        <v>230111</v>
      </c>
      <c r="D1712" s="9" t="str">
        <f>"230900409"</f>
        <v>230900409</v>
      </c>
      <c r="E1712" s="10">
        <v>0</v>
      </c>
      <c r="F1712" s="10"/>
      <c r="G1712" s="10">
        <v>0</v>
      </c>
      <c r="H1712" s="10"/>
      <c r="I1712" s="10">
        <v>0</v>
      </c>
    </row>
    <row r="1713" spans="1:9" ht="21.75" customHeight="1">
      <c r="A1713" s="8" t="s">
        <v>11</v>
      </c>
      <c r="B1713" s="8" t="s">
        <v>10</v>
      </c>
      <c r="C1713" s="9" t="str">
        <f t="shared" si="34"/>
        <v>230111</v>
      </c>
      <c r="D1713" s="9" t="str">
        <f>"230900411"</f>
        <v>230900411</v>
      </c>
      <c r="E1713" s="10">
        <v>0</v>
      </c>
      <c r="F1713" s="10"/>
      <c r="G1713" s="10">
        <v>0</v>
      </c>
      <c r="H1713" s="10"/>
      <c r="I1713" s="10">
        <v>0</v>
      </c>
    </row>
    <row r="1714" spans="1:9" ht="21.75" customHeight="1">
      <c r="A1714" s="8" t="s">
        <v>11</v>
      </c>
      <c r="B1714" s="8" t="s">
        <v>10</v>
      </c>
      <c r="C1714" s="9" t="str">
        <f t="shared" si="34"/>
        <v>230111</v>
      </c>
      <c r="D1714" s="9" t="str">
        <f>"230900412"</f>
        <v>230900412</v>
      </c>
      <c r="E1714" s="10">
        <v>0</v>
      </c>
      <c r="F1714" s="10"/>
      <c r="G1714" s="10">
        <v>0</v>
      </c>
      <c r="H1714" s="10"/>
      <c r="I1714" s="10">
        <v>0</v>
      </c>
    </row>
    <row r="1715" spans="1:9" ht="21.75" customHeight="1">
      <c r="A1715" s="8" t="s">
        <v>11</v>
      </c>
      <c r="B1715" s="8" t="s">
        <v>10</v>
      </c>
      <c r="C1715" s="9" t="str">
        <f t="shared" si="34"/>
        <v>230111</v>
      </c>
      <c r="D1715" s="9" t="str">
        <f>"230900419"</f>
        <v>230900419</v>
      </c>
      <c r="E1715" s="10">
        <v>0</v>
      </c>
      <c r="F1715" s="10"/>
      <c r="G1715" s="10">
        <v>0</v>
      </c>
      <c r="H1715" s="10"/>
      <c r="I1715" s="10">
        <v>0</v>
      </c>
    </row>
    <row r="1716" spans="1:9" ht="21.75" customHeight="1">
      <c r="A1716" s="8" t="s">
        <v>11</v>
      </c>
      <c r="B1716" s="8" t="s">
        <v>10</v>
      </c>
      <c r="C1716" s="9" t="str">
        <f t="shared" si="34"/>
        <v>230111</v>
      </c>
      <c r="D1716" s="9" t="str">
        <f>"230900423"</f>
        <v>230900423</v>
      </c>
      <c r="E1716" s="10">
        <v>0</v>
      </c>
      <c r="F1716" s="10"/>
      <c r="G1716" s="10">
        <v>0</v>
      </c>
      <c r="H1716" s="10"/>
      <c r="I1716" s="10">
        <v>0</v>
      </c>
    </row>
    <row r="1717" spans="1:9" ht="21.75" customHeight="1">
      <c r="A1717" s="8" t="s">
        <v>11</v>
      </c>
      <c r="B1717" s="8" t="s">
        <v>10</v>
      </c>
      <c r="C1717" s="9" t="str">
        <f t="shared" si="34"/>
        <v>230111</v>
      </c>
      <c r="D1717" s="9" t="str">
        <f>"230900426"</f>
        <v>230900426</v>
      </c>
      <c r="E1717" s="10">
        <v>0</v>
      </c>
      <c r="F1717" s="10"/>
      <c r="G1717" s="10">
        <v>0</v>
      </c>
      <c r="H1717" s="10"/>
      <c r="I1717" s="10">
        <v>0</v>
      </c>
    </row>
    <row r="1718" spans="1:9" s="3" customFormat="1" ht="21.75" customHeight="1">
      <c r="A1718" s="8" t="s">
        <v>12</v>
      </c>
      <c r="B1718" s="8" t="s">
        <v>41</v>
      </c>
      <c r="C1718" s="9" t="str">
        <f t="shared" ref="C1718:C1745" si="35">"230112"</f>
        <v>230112</v>
      </c>
      <c r="D1718" s="9" t="str">
        <f>"230916307"</f>
        <v>230916307</v>
      </c>
      <c r="E1718" s="10">
        <v>73.31</v>
      </c>
      <c r="F1718" s="10"/>
      <c r="G1718" s="10">
        <v>71.489999999999995</v>
      </c>
      <c r="H1718" s="10"/>
      <c r="I1718" s="10">
        <v>72.22</v>
      </c>
    </row>
    <row r="1719" spans="1:9" s="2" customFormat="1" ht="21.75" customHeight="1">
      <c r="A1719" s="8" t="s">
        <v>12</v>
      </c>
      <c r="B1719" s="8" t="s">
        <v>41</v>
      </c>
      <c r="C1719" s="9" t="str">
        <f t="shared" si="35"/>
        <v>230112</v>
      </c>
      <c r="D1719" s="9" t="str">
        <f>"230916330"</f>
        <v>230916330</v>
      </c>
      <c r="E1719" s="10">
        <v>78.72</v>
      </c>
      <c r="F1719" s="10"/>
      <c r="G1719" s="10">
        <v>61.45</v>
      </c>
      <c r="H1719" s="10"/>
      <c r="I1719" s="10">
        <v>68.36</v>
      </c>
    </row>
    <row r="1720" spans="1:9" s="2" customFormat="1" ht="21.75" customHeight="1">
      <c r="A1720" s="8" t="s">
        <v>12</v>
      </c>
      <c r="B1720" s="8" t="s">
        <v>41</v>
      </c>
      <c r="C1720" s="9" t="str">
        <f t="shared" si="35"/>
        <v>230112</v>
      </c>
      <c r="D1720" s="9" t="str">
        <f>"230916319"</f>
        <v>230916319</v>
      </c>
      <c r="E1720" s="10">
        <v>73.53</v>
      </c>
      <c r="F1720" s="10"/>
      <c r="G1720" s="10">
        <v>62.52</v>
      </c>
      <c r="H1720" s="10"/>
      <c r="I1720" s="10">
        <v>66.92</v>
      </c>
    </row>
    <row r="1721" spans="1:9" s="2" customFormat="1" ht="21.75" customHeight="1">
      <c r="A1721" s="8" t="s">
        <v>12</v>
      </c>
      <c r="B1721" s="8" t="s">
        <v>41</v>
      </c>
      <c r="C1721" s="9" t="str">
        <f t="shared" si="35"/>
        <v>230112</v>
      </c>
      <c r="D1721" s="9" t="str">
        <f>"230916308"</f>
        <v>230916308</v>
      </c>
      <c r="E1721" s="10">
        <v>72.39</v>
      </c>
      <c r="F1721" s="10"/>
      <c r="G1721" s="10">
        <v>60.78</v>
      </c>
      <c r="H1721" s="10"/>
      <c r="I1721" s="10">
        <v>65.42</v>
      </c>
    </row>
    <row r="1722" spans="1:9" s="2" customFormat="1" ht="21.75" customHeight="1">
      <c r="A1722" s="8" t="s">
        <v>12</v>
      </c>
      <c r="B1722" s="8" t="s">
        <v>41</v>
      </c>
      <c r="C1722" s="9" t="str">
        <f t="shared" si="35"/>
        <v>230112</v>
      </c>
      <c r="D1722" s="9" t="str">
        <f>"230916309"</f>
        <v>230916309</v>
      </c>
      <c r="E1722" s="10">
        <v>70.89</v>
      </c>
      <c r="F1722" s="10"/>
      <c r="G1722" s="10">
        <v>58.38</v>
      </c>
      <c r="H1722" s="10"/>
      <c r="I1722" s="10">
        <v>63.38</v>
      </c>
    </row>
    <row r="1723" spans="1:9" s="2" customFormat="1" ht="21.75" customHeight="1">
      <c r="A1723" s="8" t="s">
        <v>12</v>
      </c>
      <c r="B1723" s="8" t="s">
        <v>41</v>
      </c>
      <c r="C1723" s="9" t="str">
        <f t="shared" si="35"/>
        <v>230112</v>
      </c>
      <c r="D1723" s="9" t="str">
        <f>"230916306"</f>
        <v>230916306</v>
      </c>
      <c r="E1723" s="10">
        <v>69.959999999999994</v>
      </c>
      <c r="F1723" s="10"/>
      <c r="G1723" s="10">
        <v>58.37</v>
      </c>
      <c r="H1723" s="10"/>
      <c r="I1723" s="10">
        <v>63.01</v>
      </c>
    </row>
    <row r="1724" spans="1:9" s="3" customFormat="1" ht="21.75" customHeight="1">
      <c r="A1724" s="8" t="s">
        <v>12</v>
      </c>
      <c r="B1724" s="8" t="s">
        <v>41</v>
      </c>
      <c r="C1724" s="9" t="str">
        <f t="shared" si="35"/>
        <v>230112</v>
      </c>
      <c r="D1724" s="9" t="str">
        <f>"230916401"</f>
        <v>230916401</v>
      </c>
      <c r="E1724" s="10">
        <v>73.66</v>
      </c>
      <c r="F1724" s="10"/>
      <c r="G1724" s="10">
        <v>52.3</v>
      </c>
      <c r="H1724" s="10"/>
      <c r="I1724" s="10">
        <v>60.84</v>
      </c>
    </row>
    <row r="1725" spans="1:9" s="2" customFormat="1" ht="21.75" customHeight="1">
      <c r="A1725" s="8" t="s">
        <v>12</v>
      </c>
      <c r="B1725" s="8" t="s">
        <v>41</v>
      </c>
      <c r="C1725" s="9" t="str">
        <f t="shared" si="35"/>
        <v>230112</v>
      </c>
      <c r="D1725" s="9" t="str">
        <f>"230916317"</f>
        <v>230916317</v>
      </c>
      <c r="E1725" s="10">
        <v>63.53</v>
      </c>
      <c r="F1725" s="10"/>
      <c r="G1725" s="10">
        <v>55.41</v>
      </c>
      <c r="H1725" s="10"/>
      <c r="I1725" s="10">
        <v>58.66</v>
      </c>
    </row>
    <row r="1726" spans="1:9" s="2" customFormat="1" ht="21.75" customHeight="1">
      <c r="A1726" s="8" t="s">
        <v>12</v>
      </c>
      <c r="B1726" s="8" t="s">
        <v>41</v>
      </c>
      <c r="C1726" s="9" t="str">
        <f t="shared" si="35"/>
        <v>230112</v>
      </c>
      <c r="D1726" s="9" t="str">
        <f>"230916322"</f>
        <v>230916322</v>
      </c>
      <c r="E1726" s="10">
        <v>72.739999999999995</v>
      </c>
      <c r="F1726" s="10"/>
      <c r="G1726" s="10">
        <v>48.31</v>
      </c>
      <c r="H1726" s="10"/>
      <c r="I1726" s="10">
        <v>58.08</v>
      </c>
    </row>
    <row r="1727" spans="1:9" s="3" customFormat="1" ht="21.75" customHeight="1">
      <c r="A1727" s="8" t="s">
        <v>12</v>
      </c>
      <c r="B1727" s="8" t="s">
        <v>41</v>
      </c>
      <c r="C1727" s="9" t="str">
        <f t="shared" si="35"/>
        <v>230112</v>
      </c>
      <c r="D1727" s="9" t="str">
        <f>"230916316"</f>
        <v>230916316</v>
      </c>
      <c r="E1727" s="10">
        <v>65.03</v>
      </c>
      <c r="F1727" s="10"/>
      <c r="G1727" s="10">
        <v>50.14</v>
      </c>
      <c r="H1727" s="10"/>
      <c r="I1727" s="10">
        <v>56.1</v>
      </c>
    </row>
    <row r="1728" spans="1:9" s="2" customFormat="1" ht="21.75" customHeight="1">
      <c r="A1728" s="8" t="s">
        <v>12</v>
      </c>
      <c r="B1728" s="8" t="s">
        <v>41</v>
      </c>
      <c r="C1728" s="9" t="str">
        <f t="shared" si="35"/>
        <v>230112</v>
      </c>
      <c r="D1728" s="9" t="str">
        <f>"230916312"</f>
        <v>230916312</v>
      </c>
      <c r="E1728" s="10">
        <v>67.56</v>
      </c>
      <c r="F1728" s="10"/>
      <c r="G1728" s="10">
        <v>46.6</v>
      </c>
      <c r="H1728" s="10"/>
      <c r="I1728" s="10">
        <v>54.98</v>
      </c>
    </row>
    <row r="1729" spans="1:9" s="3" customFormat="1" ht="21.75" customHeight="1">
      <c r="A1729" s="8" t="s">
        <v>12</v>
      </c>
      <c r="B1729" s="8" t="s">
        <v>41</v>
      </c>
      <c r="C1729" s="9" t="str">
        <f t="shared" si="35"/>
        <v>230112</v>
      </c>
      <c r="D1729" s="9" t="str">
        <f>"230916403"</f>
        <v>230916403</v>
      </c>
      <c r="E1729" s="10">
        <v>64.930000000000007</v>
      </c>
      <c r="F1729" s="10"/>
      <c r="G1729" s="10">
        <v>45.56</v>
      </c>
      <c r="H1729" s="10"/>
      <c r="I1729" s="10">
        <v>53.31</v>
      </c>
    </row>
    <row r="1730" spans="1:9" s="2" customFormat="1" ht="21.75" customHeight="1">
      <c r="A1730" s="8" t="s">
        <v>12</v>
      </c>
      <c r="B1730" s="8" t="s">
        <v>41</v>
      </c>
      <c r="C1730" s="9" t="str">
        <f t="shared" si="35"/>
        <v>230112</v>
      </c>
      <c r="D1730" s="9" t="str">
        <f>"230916313"</f>
        <v>230916313</v>
      </c>
      <c r="E1730" s="10">
        <v>58.27</v>
      </c>
      <c r="F1730" s="10"/>
      <c r="G1730" s="10">
        <v>48.97</v>
      </c>
      <c r="H1730" s="10"/>
      <c r="I1730" s="10">
        <v>52.69</v>
      </c>
    </row>
    <row r="1731" spans="1:9" s="2" customFormat="1" ht="21.75" customHeight="1">
      <c r="A1731" s="8" t="s">
        <v>12</v>
      </c>
      <c r="B1731" s="8" t="s">
        <v>41</v>
      </c>
      <c r="C1731" s="9" t="str">
        <f t="shared" si="35"/>
        <v>230112</v>
      </c>
      <c r="D1731" s="9" t="str">
        <f>"230916328"</f>
        <v>230916328</v>
      </c>
      <c r="E1731" s="10">
        <v>59.65</v>
      </c>
      <c r="F1731" s="10"/>
      <c r="G1731" s="10">
        <v>44.45</v>
      </c>
      <c r="H1731" s="10"/>
      <c r="I1731" s="10">
        <v>50.53</v>
      </c>
    </row>
    <row r="1732" spans="1:9" s="2" customFormat="1" ht="21.75" customHeight="1">
      <c r="A1732" s="8" t="s">
        <v>12</v>
      </c>
      <c r="B1732" s="8" t="s">
        <v>41</v>
      </c>
      <c r="C1732" s="9" t="str">
        <f t="shared" si="35"/>
        <v>230112</v>
      </c>
      <c r="D1732" s="9" t="str">
        <f>"230916318"</f>
        <v>230916318</v>
      </c>
      <c r="E1732" s="10">
        <v>46.87</v>
      </c>
      <c r="F1732" s="10"/>
      <c r="G1732" s="10">
        <v>50.97</v>
      </c>
      <c r="H1732" s="10"/>
      <c r="I1732" s="10">
        <v>49.33</v>
      </c>
    </row>
    <row r="1733" spans="1:9" s="3" customFormat="1" ht="21.75" customHeight="1">
      <c r="A1733" s="8" t="s">
        <v>12</v>
      </c>
      <c r="B1733" s="8" t="s">
        <v>41</v>
      </c>
      <c r="C1733" s="9" t="str">
        <f t="shared" si="35"/>
        <v>230112</v>
      </c>
      <c r="D1733" s="9" t="str">
        <f>"230916310"</f>
        <v>230916310</v>
      </c>
      <c r="E1733" s="10">
        <v>0</v>
      </c>
      <c r="F1733" s="10"/>
      <c r="G1733" s="10">
        <v>0</v>
      </c>
      <c r="H1733" s="10"/>
      <c r="I1733" s="10">
        <v>0</v>
      </c>
    </row>
    <row r="1734" spans="1:9" s="3" customFormat="1" ht="21.75" customHeight="1">
      <c r="A1734" s="8" t="s">
        <v>12</v>
      </c>
      <c r="B1734" s="8" t="s">
        <v>41</v>
      </c>
      <c r="C1734" s="9" t="str">
        <f t="shared" si="35"/>
        <v>230112</v>
      </c>
      <c r="D1734" s="9" t="str">
        <f>"230916311"</f>
        <v>230916311</v>
      </c>
      <c r="E1734" s="10">
        <v>0</v>
      </c>
      <c r="F1734" s="10"/>
      <c r="G1734" s="10">
        <v>0</v>
      </c>
      <c r="H1734" s="10"/>
      <c r="I1734" s="10">
        <v>0</v>
      </c>
    </row>
    <row r="1735" spans="1:9" s="3" customFormat="1" ht="21.75" customHeight="1">
      <c r="A1735" s="8" t="s">
        <v>12</v>
      </c>
      <c r="B1735" s="8" t="s">
        <v>41</v>
      </c>
      <c r="C1735" s="9" t="str">
        <f t="shared" si="35"/>
        <v>230112</v>
      </c>
      <c r="D1735" s="9" t="str">
        <f>"230916314"</f>
        <v>230916314</v>
      </c>
      <c r="E1735" s="10">
        <v>0</v>
      </c>
      <c r="F1735" s="10"/>
      <c r="G1735" s="10">
        <v>0</v>
      </c>
      <c r="H1735" s="10"/>
      <c r="I1735" s="10">
        <v>0</v>
      </c>
    </row>
    <row r="1736" spans="1:9" s="2" customFormat="1" ht="21.75" customHeight="1">
      <c r="A1736" s="8" t="s">
        <v>12</v>
      </c>
      <c r="B1736" s="8" t="s">
        <v>41</v>
      </c>
      <c r="C1736" s="9" t="str">
        <f t="shared" si="35"/>
        <v>230112</v>
      </c>
      <c r="D1736" s="9" t="str">
        <f>"230916315"</f>
        <v>230916315</v>
      </c>
      <c r="E1736" s="10">
        <v>0</v>
      </c>
      <c r="F1736" s="10"/>
      <c r="G1736" s="10">
        <v>0</v>
      </c>
      <c r="H1736" s="10"/>
      <c r="I1736" s="10">
        <v>0</v>
      </c>
    </row>
    <row r="1737" spans="1:9" s="2" customFormat="1" ht="21.75" customHeight="1">
      <c r="A1737" s="8" t="s">
        <v>12</v>
      </c>
      <c r="B1737" s="8" t="s">
        <v>41</v>
      </c>
      <c r="C1737" s="9" t="str">
        <f t="shared" si="35"/>
        <v>230112</v>
      </c>
      <c r="D1737" s="9" t="str">
        <f>"230916320"</f>
        <v>230916320</v>
      </c>
      <c r="E1737" s="10">
        <v>0</v>
      </c>
      <c r="F1737" s="10"/>
      <c r="G1737" s="10">
        <v>0</v>
      </c>
      <c r="H1737" s="10"/>
      <c r="I1737" s="10">
        <v>0</v>
      </c>
    </row>
    <row r="1738" spans="1:9" s="2" customFormat="1" ht="21.75" customHeight="1">
      <c r="A1738" s="8" t="s">
        <v>12</v>
      </c>
      <c r="B1738" s="8" t="s">
        <v>41</v>
      </c>
      <c r="C1738" s="9" t="str">
        <f t="shared" si="35"/>
        <v>230112</v>
      </c>
      <c r="D1738" s="9" t="str">
        <f>"230916321"</f>
        <v>230916321</v>
      </c>
      <c r="E1738" s="10">
        <v>0</v>
      </c>
      <c r="F1738" s="10"/>
      <c r="G1738" s="10">
        <v>0</v>
      </c>
      <c r="H1738" s="10"/>
      <c r="I1738" s="10">
        <v>0</v>
      </c>
    </row>
    <row r="1739" spans="1:9" s="2" customFormat="1" ht="21.75" customHeight="1">
      <c r="A1739" s="8" t="s">
        <v>12</v>
      </c>
      <c r="B1739" s="8" t="s">
        <v>41</v>
      </c>
      <c r="C1739" s="9" t="str">
        <f t="shared" si="35"/>
        <v>230112</v>
      </c>
      <c r="D1739" s="9" t="str">
        <f>"230916323"</f>
        <v>230916323</v>
      </c>
      <c r="E1739" s="10">
        <v>0</v>
      </c>
      <c r="F1739" s="10"/>
      <c r="G1739" s="10">
        <v>0</v>
      </c>
      <c r="H1739" s="10"/>
      <c r="I1739" s="10">
        <v>0</v>
      </c>
    </row>
    <row r="1740" spans="1:9" s="2" customFormat="1" ht="21.75" customHeight="1">
      <c r="A1740" s="8" t="s">
        <v>12</v>
      </c>
      <c r="B1740" s="8" t="s">
        <v>41</v>
      </c>
      <c r="C1740" s="9" t="str">
        <f t="shared" si="35"/>
        <v>230112</v>
      </c>
      <c r="D1740" s="9" t="str">
        <f>"230916324"</f>
        <v>230916324</v>
      </c>
      <c r="E1740" s="10">
        <v>0</v>
      </c>
      <c r="F1740" s="10"/>
      <c r="G1740" s="10">
        <v>0</v>
      </c>
      <c r="H1740" s="10"/>
      <c r="I1740" s="10">
        <v>0</v>
      </c>
    </row>
    <row r="1741" spans="1:9" s="3" customFormat="1" ht="21.75" customHeight="1">
      <c r="A1741" s="8" t="s">
        <v>12</v>
      </c>
      <c r="B1741" s="8" t="s">
        <v>41</v>
      </c>
      <c r="C1741" s="9" t="str">
        <f t="shared" si="35"/>
        <v>230112</v>
      </c>
      <c r="D1741" s="9" t="str">
        <f>"230916325"</f>
        <v>230916325</v>
      </c>
      <c r="E1741" s="10">
        <v>0</v>
      </c>
      <c r="F1741" s="10"/>
      <c r="G1741" s="10">
        <v>0</v>
      </c>
      <c r="H1741" s="10"/>
      <c r="I1741" s="10">
        <v>0</v>
      </c>
    </row>
    <row r="1742" spans="1:9" s="2" customFormat="1" ht="21.75" customHeight="1">
      <c r="A1742" s="8" t="s">
        <v>12</v>
      </c>
      <c r="B1742" s="8" t="s">
        <v>41</v>
      </c>
      <c r="C1742" s="9" t="str">
        <f t="shared" si="35"/>
        <v>230112</v>
      </c>
      <c r="D1742" s="9" t="str">
        <f>"230916326"</f>
        <v>230916326</v>
      </c>
      <c r="E1742" s="10">
        <v>0</v>
      </c>
      <c r="F1742" s="10"/>
      <c r="G1742" s="10">
        <v>0</v>
      </c>
      <c r="H1742" s="10"/>
      <c r="I1742" s="10">
        <v>0</v>
      </c>
    </row>
    <row r="1743" spans="1:9" s="3" customFormat="1" ht="21.75" customHeight="1">
      <c r="A1743" s="8" t="s">
        <v>12</v>
      </c>
      <c r="B1743" s="8" t="s">
        <v>41</v>
      </c>
      <c r="C1743" s="9" t="str">
        <f t="shared" si="35"/>
        <v>230112</v>
      </c>
      <c r="D1743" s="9" t="str">
        <f>"230916327"</f>
        <v>230916327</v>
      </c>
      <c r="E1743" s="10">
        <v>0</v>
      </c>
      <c r="F1743" s="10"/>
      <c r="G1743" s="10">
        <v>0</v>
      </c>
      <c r="H1743" s="10"/>
      <c r="I1743" s="10">
        <v>0</v>
      </c>
    </row>
    <row r="1744" spans="1:9" s="2" customFormat="1" ht="21.75" customHeight="1">
      <c r="A1744" s="8" t="s">
        <v>12</v>
      </c>
      <c r="B1744" s="8" t="s">
        <v>41</v>
      </c>
      <c r="C1744" s="9" t="str">
        <f t="shared" si="35"/>
        <v>230112</v>
      </c>
      <c r="D1744" s="9" t="str">
        <f>"230916329"</f>
        <v>230916329</v>
      </c>
      <c r="E1744" s="10">
        <v>0</v>
      </c>
      <c r="F1744" s="10"/>
      <c r="G1744" s="10">
        <v>0</v>
      </c>
      <c r="H1744" s="10"/>
      <c r="I1744" s="10">
        <v>0</v>
      </c>
    </row>
    <row r="1745" spans="1:9" s="2" customFormat="1" ht="21.75" customHeight="1">
      <c r="A1745" s="8" t="s">
        <v>12</v>
      </c>
      <c r="B1745" s="8" t="s">
        <v>41</v>
      </c>
      <c r="C1745" s="9" t="str">
        <f t="shared" si="35"/>
        <v>230112</v>
      </c>
      <c r="D1745" s="9" t="str">
        <f>"230916402"</f>
        <v>230916402</v>
      </c>
      <c r="E1745" s="10">
        <v>0</v>
      </c>
      <c r="F1745" s="10"/>
      <c r="G1745" s="10">
        <v>0</v>
      </c>
      <c r="H1745" s="10"/>
      <c r="I1745" s="10">
        <v>0</v>
      </c>
    </row>
    <row r="1746" spans="1:9" ht="21.75" customHeight="1">
      <c r="A1746" s="8" t="s">
        <v>12</v>
      </c>
      <c r="B1746" s="8" t="s">
        <v>10</v>
      </c>
      <c r="C1746" s="9" t="str">
        <f t="shared" ref="C1746:C1770" si="36">"230113"</f>
        <v>230113</v>
      </c>
      <c r="D1746" s="9" t="str">
        <f>"230900510"</f>
        <v>230900510</v>
      </c>
      <c r="E1746" s="10">
        <v>79.540000000000006</v>
      </c>
      <c r="F1746" s="10"/>
      <c r="G1746" s="10">
        <v>74</v>
      </c>
      <c r="H1746" s="10"/>
      <c r="I1746" s="10">
        <v>76.22</v>
      </c>
    </row>
    <row r="1747" spans="1:9" s="1" customFormat="1" ht="21.75" customHeight="1">
      <c r="A1747" s="8" t="s">
        <v>12</v>
      </c>
      <c r="B1747" s="8" t="s">
        <v>10</v>
      </c>
      <c r="C1747" s="9" t="str">
        <f t="shared" si="36"/>
        <v>230113</v>
      </c>
      <c r="D1747" s="9" t="str">
        <f>"230900519"</f>
        <v>230900519</v>
      </c>
      <c r="E1747" s="10">
        <v>75.489999999999995</v>
      </c>
      <c r="F1747" s="10"/>
      <c r="G1747" s="10">
        <v>76</v>
      </c>
      <c r="H1747" s="10"/>
      <c r="I1747" s="10">
        <v>75.8</v>
      </c>
    </row>
    <row r="1748" spans="1:9" ht="21.75" customHeight="1">
      <c r="A1748" s="8" t="s">
        <v>12</v>
      </c>
      <c r="B1748" s="8" t="s">
        <v>10</v>
      </c>
      <c r="C1748" s="9" t="str">
        <f t="shared" si="36"/>
        <v>230113</v>
      </c>
      <c r="D1748" s="9" t="str">
        <f>"230900504"</f>
        <v>230900504</v>
      </c>
      <c r="E1748" s="10">
        <v>81.37</v>
      </c>
      <c r="F1748" s="10"/>
      <c r="G1748" s="10">
        <v>69</v>
      </c>
      <c r="H1748" s="10"/>
      <c r="I1748" s="10">
        <v>73.95</v>
      </c>
    </row>
    <row r="1749" spans="1:9" ht="21.75" customHeight="1">
      <c r="A1749" s="8" t="s">
        <v>12</v>
      </c>
      <c r="B1749" s="8" t="s">
        <v>10</v>
      </c>
      <c r="C1749" s="9" t="str">
        <f t="shared" si="36"/>
        <v>230113</v>
      </c>
      <c r="D1749" s="9" t="str">
        <f>"230900509"</f>
        <v>230900509</v>
      </c>
      <c r="E1749" s="10">
        <v>70.099999999999994</v>
      </c>
      <c r="F1749" s="10"/>
      <c r="G1749" s="10">
        <v>75</v>
      </c>
      <c r="H1749" s="10"/>
      <c r="I1749" s="10">
        <v>73.040000000000006</v>
      </c>
    </row>
    <row r="1750" spans="1:9" ht="21.75" customHeight="1">
      <c r="A1750" s="8" t="s">
        <v>12</v>
      </c>
      <c r="B1750" s="8" t="s">
        <v>10</v>
      </c>
      <c r="C1750" s="9" t="str">
        <f t="shared" si="36"/>
        <v>230113</v>
      </c>
      <c r="D1750" s="9" t="str">
        <f>"230900521"</f>
        <v>230900521</v>
      </c>
      <c r="E1750" s="10">
        <v>76.75</v>
      </c>
      <c r="F1750" s="10"/>
      <c r="G1750" s="10">
        <v>70.5</v>
      </c>
      <c r="H1750" s="10"/>
      <c r="I1750" s="10">
        <v>73</v>
      </c>
    </row>
    <row r="1751" spans="1:9" ht="21.75" customHeight="1">
      <c r="A1751" s="8" t="s">
        <v>12</v>
      </c>
      <c r="B1751" s="8" t="s">
        <v>10</v>
      </c>
      <c r="C1751" s="9" t="str">
        <f t="shared" si="36"/>
        <v>230113</v>
      </c>
      <c r="D1751" s="9" t="str">
        <f>"230900511"</f>
        <v>230900511</v>
      </c>
      <c r="E1751" s="10">
        <v>69.739999999999995</v>
      </c>
      <c r="F1751" s="10"/>
      <c r="G1751" s="10">
        <v>74</v>
      </c>
      <c r="H1751" s="10"/>
      <c r="I1751" s="10">
        <v>72.3</v>
      </c>
    </row>
    <row r="1752" spans="1:9" ht="21.75" customHeight="1">
      <c r="A1752" s="8" t="s">
        <v>12</v>
      </c>
      <c r="B1752" s="8" t="s">
        <v>10</v>
      </c>
      <c r="C1752" s="9" t="str">
        <f t="shared" si="36"/>
        <v>230113</v>
      </c>
      <c r="D1752" s="9" t="str">
        <f>"230900525"</f>
        <v>230900525</v>
      </c>
      <c r="E1752" s="10">
        <v>64.59</v>
      </c>
      <c r="F1752" s="10"/>
      <c r="G1752" s="10">
        <v>76</v>
      </c>
      <c r="H1752" s="10"/>
      <c r="I1752" s="10">
        <v>71.44</v>
      </c>
    </row>
    <row r="1753" spans="1:9" s="1" customFormat="1" ht="21.75" customHeight="1">
      <c r="A1753" s="8" t="s">
        <v>12</v>
      </c>
      <c r="B1753" s="8" t="s">
        <v>10</v>
      </c>
      <c r="C1753" s="9" t="str">
        <f t="shared" si="36"/>
        <v>230113</v>
      </c>
      <c r="D1753" s="9" t="str">
        <f>"230900512"</f>
        <v>230900512</v>
      </c>
      <c r="E1753" s="10">
        <v>67.55</v>
      </c>
      <c r="F1753" s="10"/>
      <c r="G1753" s="10">
        <v>73.5</v>
      </c>
      <c r="H1753" s="10"/>
      <c r="I1753" s="10">
        <v>71.12</v>
      </c>
    </row>
    <row r="1754" spans="1:9" ht="21.75" customHeight="1">
      <c r="A1754" s="8" t="s">
        <v>12</v>
      </c>
      <c r="B1754" s="8" t="s">
        <v>10</v>
      </c>
      <c r="C1754" s="9" t="str">
        <f t="shared" si="36"/>
        <v>230113</v>
      </c>
      <c r="D1754" s="9" t="str">
        <f>"230900513"</f>
        <v>230900513</v>
      </c>
      <c r="E1754" s="10">
        <v>71.83</v>
      </c>
      <c r="F1754" s="10"/>
      <c r="G1754" s="10">
        <v>68.5</v>
      </c>
      <c r="H1754" s="10"/>
      <c r="I1754" s="10">
        <v>69.83</v>
      </c>
    </row>
    <row r="1755" spans="1:9" ht="21.75" customHeight="1">
      <c r="A1755" s="8" t="s">
        <v>12</v>
      </c>
      <c r="B1755" s="8" t="s">
        <v>10</v>
      </c>
      <c r="C1755" s="9" t="str">
        <f t="shared" si="36"/>
        <v>230113</v>
      </c>
      <c r="D1755" s="9" t="str">
        <f>"230900514"</f>
        <v>230900514</v>
      </c>
      <c r="E1755" s="10">
        <v>69.39</v>
      </c>
      <c r="F1755" s="10"/>
      <c r="G1755" s="10">
        <v>70</v>
      </c>
      <c r="H1755" s="10"/>
      <c r="I1755" s="10">
        <v>69.760000000000005</v>
      </c>
    </row>
    <row r="1756" spans="1:9" ht="21.75" customHeight="1">
      <c r="A1756" s="8" t="s">
        <v>12</v>
      </c>
      <c r="B1756" s="8" t="s">
        <v>10</v>
      </c>
      <c r="C1756" s="9" t="str">
        <f t="shared" si="36"/>
        <v>230113</v>
      </c>
      <c r="D1756" s="9" t="str">
        <f>"230900506"</f>
        <v>230900506</v>
      </c>
      <c r="E1756" s="10">
        <v>74.900000000000006</v>
      </c>
      <c r="F1756" s="10"/>
      <c r="G1756" s="10">
        <v>65.5</v>
      </c>
      <c r="H1756" s="10"/>
      <c r="I1756" s="10">
        <v>69.260000000000005</v>
      </c>
    </row>
    <row r="1757" spans="1:9" ht="21.75" customHeight="1">
      <c r="A1757" s="8" t="s">
        <v>12</v>
      </c>
      <c r="B1757" s="8" t="s">
        <v>10</v>
      </c>
      <c r="C1757" s="9" t="str">
        <f t="shared" si="36"/>
        <v>230113</v>
      </c>
      <c r="D1757" s="9" t="str">
        <f>"230900508"</f>
        <v>230900508</v>
      </c>
      <c r="E1757" s="10">
        <v>60.56</v>
      </c>
      <c r="F1757" s="10"/>
      <c r="G1757" s="10">
        <v>73.5</v>
      </c>
      <c r="H1757" s="10"/>
      <c r="I1757" s="10">
        <v>68.319999999999993</v>
      </c>
    </row>
    <row r="1758" spans="1:9" ht="21.75" customHeight="1">
      <c r="A1758" s="8" t="s">
        <v>12</v>
      </c>
      <c r="B1758" s="8" t="s">
        <v>10</v>
      </c>
      <c r="C1758" s="9" t="str">
        <f t="shared" si="36"/>
        <v>230113</v>
      </c>
      <c r="D1758" s="9" t="str">
        <f>"230900524"</f>
        <v>230900524</v>
      </c>
      <c r="E1758" s="10">
        <v>59.2</v>
      </c>
      <c r="F1758" s="10"/>
      <c r="G1758" s="10">
        <v>73</v>
      </c>
      <c r="H1758" s="10"/>
      <c r="I1758" s="10">
        <v>67.48</v>
      </c>
    </row>
    <row r="1759" spans="1:9" s="1" customFormat="1" ht="21.75" customHeight="1">
      <c r="A1759" s="8" t="s">
        <v>12</v>
      </c>
      <c r="B1759" s="8" t="s">
        <v>10</v>
      </c>
      <c r="C1759" s="9" t="str">
        <f t="shared" si="36"/>
        <v>230113</v>
      </c>
      <c r="D1759" s="9" t="str">
        <f>"230900516"</f>
        <v>230900516</v>
      </c>
      <c r="E1759" s="10">
        <v>61.47</v>
      </c>
      <c r="F1759" s="10"/>
      <c r="G1759" s="10">
        <v>71</v>
      </c>
      <c r="H1759" s="10"/>
      <c r="I1759" s="10">
        <v>67.19</v>
      </c>
    </row>
    <row r="1760" spans="1:9" ht="21.75" customHeight="1">
      <c r="A1760" s="8" t="s">
        <v>12</v>
      </c>
      <c r="B1760" s="8" t="s">
        <v>10</v>
      </c>
      <c r="C1760" s="9" t="str">
        <f t="shared" si="36"/>
        <v>230113</v>
      </c>
      <c r="D1760" s="9" t="str">
        <f>"230900520"</f>
        <v>230900520</v>
      </c>
      <c r="E1760" s="10">
        <v>62.74</v>
      </c>
      <c r="F1760" s="10"/>
      <c r="G1760" s="10">
        <v>70</v>
      </c>
      <c r="H1760" s="10"/>
      <c r="I1760" s="10">
        <v>67.099999999999994</v>
      </c>
    </row>
    <row r="1761" spans="1:9" ht="21.75" customHeight="1">
      <c r="A1761" s="8" t="s">
        <v>12</v>
      </c>
      <c r="B1761" s="8" t="s">
        <v>10</v>
      </c>
      <c r="C1761" s="9" t="str">
        <f t="shared" si="36"/>
        <v>230113</v>
      </c>
      <c r="D1761" s="9" t="str">
        <f>"230900503"</f>
        <v>230900503</v>
      </c>
      <c r="E1761" s="10">
        <v>60.2</v>
      </c>
      <c r="F1761" s="10"/>
      <c r="G1761" s="10">
        <v>71.5</v>
      </c>
      <c r="H1761" s="10"/>
      <c r="I1761" s="10">
        <v>66.98</v>
      </c>
    </row>
    <row r="1762" spans="1:9" ht="21.75" customHeight="1">
      <c r="A1762" s="8" t="s">
        <v>12</v>
      </c>
      <c r="B1762" s="8" t="s">
        <v>10</v>
      </c>
      <c r="C1762" s="9" t="str">
        <f t="shared" si="36"/>
        <v>230113</v>
      </c>
      <c r="D1762" s="9" t="str">
        <f>"230900518"</f>
        <v>230900518</v>
      </c>
      <c r="E1762" s="10">
        <v>70.540000000000006</v>
      </c>
      <c r="F1762" s="10"/>
      <c r="G1762" s="10">
        <v>64.5</v>
      </c>
      <c r="H1762" s="10"/>
      <c r="I1762" s="10">
        <v>66.92</v>
      </c>
    </row>
    <row r="1763" spans="1:9" ht="21.75" customHeight="1">
      <c r="A1763" s="8" t="s">
        <v>12</v>
      </c>
      <c r="B1763" s="8" t="s">
        <v>10</v>
      </c>
      <c r="C1763" s="9" t="str">
        <f t="shared" si="36"/>
        <v>230113</v>
      </c>
      <c r="D1763" s="9" t="str">
        <f>"230900507"</f>
        <v>230900507</v>
      </c>
      <c r="E1763" s="10">
        <v>60.53</v>
      </c>
      <c r="F1763" s="10"/>
      <c r="G1763" s="10">
        <v>70</v>
      </c>
      <c r="H1763" s="10"/>
      <c r="I1763" s="10">
        <v>66.209999999999994</v>
      </c>
    </row>
    <row r="1764" spans="1:9" ht="21.75" customHeight="1">
      <c r="A1764" s="8" t="s">
        <v>12</v>
      </c>
      <c r="B1764" s="8" t="s">
        <v>10</v>
      </c>
      <c r="C1764" s="9" t="str">
        <f t="shared" si="36"/>
        <v>230113</v>
      </c>
      <c r="D1764" s="9" t="str">
        <f>"230900522"</f>
        <v>230900522</v>
      </c>
      <c r="E1764" s="10">
        <v>47.45</v>
      </c>
      <c r="F1764" s="10"/>
      <c r="G1764" s="10">
        <v>68.5</v>
      </c>
      <c r="H1764" s="10"/>
      <c r="I1764" s="10">
        <v>60.08</v>
      </c>
    </row>
    <row r="1765" spans="1:9" ht="21.75" customHeight="1">
      <c r="A1765" s="8" t="s">
        <v>12</v>
      </c>
      <c r="B1765" s="8" t="s">
        <v>10</v>
      </c>
      <c r="C1765" s="9" t="str">
        <f t="shared" si="36"/>
        <v>230113</v>
      </c>
      <c r="D1765" s="9" t="str">
        <f>"230900502"</f>
        <v>230900502</v>
      </c>
      <c r="E1765" s="10">
        <v>0</v>
      </c>
      <c r="F1765" s="10"/>
      <c r="G1765" s="10">
        <v>0</v>
      </c>
      <c r="H1765" s="10"/>
      <c r="I1765" s="10">
        <v>0</v>
      </c>
    </row>
    <row r="1766" spans="1:9" ht="21.75" customHeight="1">
      <c r="A1766" s="8" t="s">
        <v>12</v>
      </c>
      <c r="B1766" s="8" t="s">
        <v>10</v>
      </c>
      <c r="C1766" s="9" t="str">
        <f t="shared" si="36"/>
        <v>230113</v>
      </c>
      <c r="D1766" s="9" t="str">
        <f>"230900505"</f>
        <v>230900505</v>
      </c>
      <c r="E1766" s="10">
        <v>0</v>
      </c>
      <c r="F1766" s="10"/>
      <c r="G1766" s="10">
        <v>0</v>
      </c>
      <c r="H1766" s="10"/>
      <c r="I1766" s="10">
        <v>0</v>
      </c>
    </row>
    <row r="1767" spans="1:9" ht="21.75" customHeight="1">
      <c r="A1767" s="8" t="s">
        <v>12</v>
      </c>
      <c r="B1767" s="8" t="s">
        <v>10</v>
      </c>
      <c r="C1767" s="9" t="str">
        <f t="shared" si="36"/>
        <v>230113</v>
      </c>
      <c r="D1767" s="9" t="str">
        <f>"230900515"</f>
        <v>230900515</v>
      </c>
      <c r="E1767" s="10">
        <v>0</v>
      </c>
      <c r="F1767" s="10"/>
      <c r="G1767" s="10">
        <v>0</v>
      </c>
      <c r="H1767" s="10"/>
      <c r="I1767" s="10">
        <v>0</v>
      </c>
    </row>
    <row r="1768" spans="1:9" s="1" customFormat="1" ht="21.75" customHeight="1">
      <c r="A1768" s="8" t="s">
        <v>12</v>
      </c>
      <c r="B1768" s="8" t="s">
        <v>10</v>
      </c>
      <c r="C1768" s="9" t="str">
        <f t="shared" si="36"/>
        <v>230113</v>
      </c>
      <c r="D1768" s="9" t="str">
        <f>"230900517"</f>
        <v>230900517</v>
      </c>
      <c r="E1768" s="10">
        <v>0</v>
      </c>
      <c r="F1768" s="10"/>
      <c r="G1768" s="10">
        <v>0</v>
      </c>
      <c r="H1768" s="10"/>
      <c r="I1768" s="10">
        <v>0</v>
      </c>
    </row>
    <row r="1769" spans="1:9" ht="21.75" customHeight="1">
      <c r="A1769" s="8" t="s">
        <v>12</v>
      </c>
      <c r="B1769" s="8" t="s">
        <v>10</v>
      </c>
      <c r="C1769" s="9" t="str">
        <f t="shared" si="36"/>
        <v>230113</v>
      </c>
      <c r="D1769" s="9" t="str">
        <f>"230900523"</f>
        <v>230900523</v>
      </c>
      <c r="E1769" s="10">
        <v>0</v>
      </c>
      <c r="F1769" s="10"/>
      <c r="G1769" s="10">
        <v>0</v>
      </c>
      <c r="H1769" s="10"/>
      <c r="I1769" s="10">
        <v>0</v>
      </c>
    </row>
    <row r="1770" spans="1:9" ht="21.75" customHeight="1">
      <c r="A1770" s="8" t="s">
        <v>12</v>
      </c>
      <c r="B1770" s="8" t="s">
        <v>10</v>
      </c>
      <c r="C1770" s="9" t="str">
        <f t="shared" si="36"/>
        <v>230113</v>
      </c>
      <c r="D1770" s="9" t="str">
        <f>"230900526"</f>
        <v>230900526</v>
      </c>
      <c r="E1770" s="10">
        <v>0</v>
      </c>
      <c r="F1770" s="10"/>
      <c r="G1770" s="10">
        <v>0</v>
      </c>
      <c r="H1770" s="10"/>
      <c r="I1770" s="10">
        <v>0</v>
      </c>
    </row>
    <row r="1771" spans="1:9" s="2" customFormat="1" ht="21.75" customHeight="1">
      <c r="A1771" s="8" t="s">
        <v>13</v>
      </c>
      <c r="B1771" s="8" t="s">
        <v>10</v>
      </c>
      <c r="C1771" s="9" t="str">
        <f t="shared" ref="C1771:C1834" si="37">"230114"</f>
        <v>230114</v>
      </c>
      <c r="D1771" s="9" t="str">
        <f>"230900926"</f>
        <v>230900926</v>
      </c>
      <c r="E1771" s="10">
        <v>87.35</v>
      </c>
      <c r="F1771" s="10"/>
      <c r="G1771" s="10">
        <v>76.5</v>
      </c>
      <c r="H1771" s="10"/>
      <c r="I1771" s="10">
        <v>80.84</v>
      </c>
    </row>
    <row r="1772" spans="1:9" s="3" customFormat="1" ht="21.75" customHeight="1">
      <c r="A1772" s="8" t="s">
        <v>13</v>
      </c>
      <c r="B1772" s="8" t="s">
        <v>10</v>
      </c>
      <c r="C1772" s="9" t="str">
        <f t="shared" si="37"/>
        <v>230114</v>
      </c>
      <c r="D1772" s="9" t="str">
        <f>"230901304"</f>
        <v>230901304</v>
      </c>
      <c r="E1772" s="10">
        <v>76.069999999999993</v>
      </c>
      <c r="F1772" s="10"/>
      <c r="G1772" s="10">
        <v>80</v>
      </c>
      <c r="H1772" s="10"/>
      <c r="I1772" s="10">
        <v>78.430000000000007</v>
      </c>
    </row>
    <row r="1773" spans="1:9" s="3" customFormat="1" ht="21.75" customHeight="1">
      <c r="A1773" s="8" t="s">
        <v>13</v>
      </c>
      <c r="B1773" s="8" t="s">
        <v>10</v>
      </c>
      <c r="C1773" s="9" t="str">
        <f t="shared" si="37"/>
        <v>230114</v>
      </c>
      <c r="D1773" s="9" t="str">
        <f>"230901701"</f>
        <v>230901701</v>
      </c>
      <c r="E1773" s="10">
        <v>82.39</v>
      </c>
      <c r="F1773" s="10"/>
      <c r="G1773" s="10">
        <v>75</v>
      </c>
      <c r="H1773" s="10"/>
      <c r="I1773" s="10">
        <v>77.959999999999994</v>
      </c>
    </row>
    <row r="1774" spans="1:9" s="3" customFormat="1" ht="21.75" customHeight="1">
      <c r="A1774" s="8" t="s">
        <v>13</v>
      </c>
      <c r="B1774" s="8" t="s">
        <v>10</v>
      </c>
      <c r="C1774" s="9" t="str">
        <f t="shared" si="37"/>
        <v>230114</v>
      </c>
      <c r="D1774" s="9" t="str">
        <f>"230900617"</f>
        <v>230900617</v>
      </c>
      <c r="E1774" s="10">
        <v>82.17</v>
      </c>
      <c r="F1774" s="10"/>
      <c r="G1774" s="10">
        <v>75</v>
      </c>
      <c r="H1774" s="10"/>
      <c r="I1774" s="10">
        <v>77.87</v>
      </c>
    </row>
    <row r="1775" spans="1:9" s="3" customFormat="1" ht="21.75" customHeight="1">
      <c r="A1775" s="8" t="s">
        <v>13</v>
      </c>
      <c r="B1775" s="8" t="s">
        <v>10</v>
      </c>
      <c r="C1775" s="9" t="str">
        <f t="shared" si="37"/>
        <v>230114</v>
      </c>
      <c r="D1775" s="9" t="str">
        <f>"230901305"</f>
        <v>230901305</v>
      </c>
      <c r="E1775" s="10">
        <v>84.36</v>
      </c>
      <c r="F1775" s="10"/>
      <c r="G1775" s="10">
        <v>73</v>
      </c>
      <c r="H1775" s="10"/>
      <c r="I1775" s="10">
        <v>77.540000000000006</v>
      </c>
    </row>
    <row r="1776" spans="1:9" s="3" customFormat="1" ht="21.75" customHeight="1">
      <c r="A1776" s="8" t="s">
        <v>13</v>
      </c>
      <c r="B1776" s="8" t="s">
        <v>10</v>
      </c>
      <c r="C1776" s="9" t="str">
        <f t="shared" si="37"/>
        <v>230114</v>
      </c>
      <c r="D1776" s="9" t="str">
        <f>"230901227"</f>
        <v>230901227</v>
      </c>
      <c r="E1776" s="10">
        <v>78.959999999999994</v>
      </c>
      <c r="F1776" s="10"/>
      <c r="G1776" s="10">
        <v>76.5</v>
      </c>
      <c r="H1776" s="10"/>
      <c r="I1776" s="10">
        <v>77.48</v>
      </c>
    </row>
    <row r="1777" spans="1:9" s="2" customFormat="1" ht="21.75" customHeight="1">
      <c r="A1777" s="8" t="s">
        <v>13</v>
      </c>
      <c r="B1777" s="8" t="s">
        <v>10</v>
      </c>
      <c r="C1777" s="9" t="str">
        <f t="shared" si="37"/>
        <v>230114</v>
      </c>
      <c r="D1777" s="9" t="str">
        <f>"230901527"</f>
        <v>230901527</v>
      </c>
      <c r="E1777" s="10">
        <v>74.58</v>
      </c>
      <c r="F1777" s="10"/>
      <c r="G1777" s="10">
        <v>79</v>
      </c>
      <c r="H1777" s="10"/>
      <c r="I1777" s="10">
        <v>77.23</v>
      </c>
    </row>
    <row r="1778" spans="1:9" s="3" customFormat="1" ht="21.75" customHeight="1">
      <c r="A1778" s="8" t="s">
        <v>13</v>
      </c>
      <c r="B1778" s="8" t="s">
        <v>10</v>
      </c>
      <c r="C1778" s="9" t="str">
        <f t="shared" si="37"/>
        <v>230114</v>
      </c>
      <c r="D1778" s="9" t="str">
        <f>"230900824"</f>
        <v>230900824</v>
      </c>
      <c r="E1778" s="10">
        <v>77.56</v>
      </c>
      <c r="F1778" s="10"/>
      <c r="G1778" s="10">
        <v>77</v>
      </c>
      <c r="H1778" s="10"/>
      <c r="I1778" s="10">
        <v>77.22</v>
      </c>
    </row>
    <row r="1779" spans="1:9" s="3" customFormat="1" ht="21.75" customHeight="1">
      <c r="A1779" s="8" t="s">
        <v>13</v>
      </c>
      <c r="B1779" s="8" t="s">
        <v>10</v>
      </c>
      <c r="C1779" s="9" t="str">
        <f t="shared" si="37"/>
        <v>230114</v>
      </c>
      <c r="D1779" s="9" t="str">
        <f>"230901126"</f>
        <v>230901126</v>
      </c>
      <c r="E1779" s="10">
        <v>79.63</v>
      </c>
      <c r="F1779" s="10"/>
      <c r="G1779" s="10">
        <v>75.5</v>
      </c>
      <c r="H1779" s="10"/>
      <c r="I1779" s="10">
        <v>77.150000000000006</v>
      </c>
    </row>
    <row r="1780" spans="1:9" s="2" customFormat="1" ht="21.75" customHeight="1">
      <c r="A1780" s="8" t="s">
        <v>13</v>
      </c>
      <c r="B1780" s="8" t="s">
        <v>10</v>
      </c>
      <c r="C1780" s="9" t="str">
        <f t="shared" si="37"/>
        <v>230114</v>
      </c>
      <c r="D1780" s="9" t="str">
        <f>"230901714"</f>
        <v>230901714</v>
      </c>
      <c r="E1780" s="10">
        <v>83.31</v>
      </c>
      <c r="F1780" s="10"/>
      <c r="G1780" s="10">
        <v>73</v>
      </c>
      <c r="H1780" s="10"/>
      <c r="I1780" s="10">
        <v>77.12</v>
      </c>
    </row>
    <row r="1781" spans="1:9" s="3" customFormat="1" ht="21.75" customHeight="1">
      <c r="A1781" s="8" t="s">
        <v>13</v>
      </c>
      <c r="B1781" s="8" t="s">
        <v>10</v>
      </c>
      <c r="C1781" s="9" t="str">
        <f t="shared" si="37"/>
        <v>230114</v>
      </c>
      <c r="D1781" s="9" t="str">
        <f>"230900724"</f>
        <v>230900724</v>
      </c>
      <c r="E1781" s="10">
        <v>78.489999999999995</v>
      </c>
      <c r="F1781" s="10"/>
      <c r="G1781" s="10">
        <v>76</v>
      </c>
      <c r="H1781" s="10"/>
      <c r="I1781" s="10">
        <v>77</v>
      </c>
    </row>
    <row r="1782" spans="1:9" s="2" customFormat="1" ht="21.75" customHeight="1">
      <c r="A1782" s="8" t="s">
        <v>13</v>
      </c>
      <c r="B1782" s="8" t="s">
        <v>10</v>
      </c>
      <c r="C1782" s="9" t="str">
        <f t="shared" si="37"/>
        <v>230114</v>
      </c>
      <c r="D1782" s="9" t="str">
        <f>"230901612"</f>
        <v>230901612</v>
      </c>
      <c r="E1782" s="10">
        <v>80.650000000000006</v>
      </c>
      <c r="F1782" s="10"/>
      <c r="G1782" s="10">
        <v>74.5</v>
      </c>
      <c r="H1782" s="10"/>
      <c r="I1782" s="10">
        <v>76.959999999999994</v>
      </c>
    </row>
    <row r="1783" spans="1:9" s="3" customFormat="1" ht="21.75" customHeight="1">
      <c r="A1783" s="8" t="s">
        <v>13</v>
      </c>
      <c r="B1783" s="8" t="s">
        <v>10</v>
      </c>
      <c r="C1783" s="9" t="str">
        <f t="shared" si="37"/>
        <v>230114</v>
      </c>
      <c r="D1783" s="9" t="str">
        <f>"230901507"</f>
        <v>230901507</v>
      </c>
      <c r="E1783" s="10">
        <v>87.93</v>
      </c>
      <c r="F1783" s="10"/>
      <c r="G1783" s="10">
        <v>69.5</v>
      </c>
      <c r="H1783" s="10"/>
      <c r="I1783" s="10">
        <v>76.87</v>
      </c>
    </row>
    <row r="1784" spans="1:9" s="2" customFormat="1" ht="21.75" customHeight="1">
      <c r="A1784" s="8" t="s">
        <v>13</v>
      </c>
      <c r="B1784" s="8" t="s">
        <v>10</v>
      </c>
      <c r="C1784" s="9" t="str">
        <f t="shared" si="37"/>
        <v>230114</v>
      </c>
      <c r="D1784" s="9" t="str">
        <f>"230900920"</f>
        <v>230900920</v>
      </c>
      <c r="E1784" s="10">
        <v>75.16</v>
      </c>
      <c r="F1784" s="10"/>
      <c r="G1784" s="10">
        <v>78</v>
      </c>
      <c r="H1784" s="10"/>
      <c r="I1784" s="10">
        <v>76.86</v>
      </c>
    </row>
    <row r="1785" spans="1:9" s="2" customFormat="1" ht="21.75" customHeight="1">
      <c r="A1785" s="8" t="s">
        <v>13</v>
      </c>
      <c r="B1785" s="8" t="s">
        <v>10</v>
      </c>
      <c r="C1785" s="9" t="str">
        <f t="shared" si="37"/>
        <v>230114</v>
      </c>
      <c r="D1785" s="9" t="str">
        <f>"230900603"</f>
        <v>230900603</v>
      </c>
      <c r="E1785" s="10">
        <v>78.819999999999993</v>
      </c>
      <c r="F1785" s="10"/>
      <c r="G1785" s="10">
        <v>75.5</v>
      </c>
      <c r="H1785" s="10"/>
      <c r="I1785" s="10">
        <v>76.83</v>
      </c>
    </row>
    <row r="1786" spans="1:9" s="2" customFormat="1" ht="21.75" customHeight="1">
      <c r="A1786" s="8" t="s">
        <v>13</v>
      </c>
      <c r="B1786" s="8" t="s">
        <v>10</v>
      </c>
      <c r="C1786" s="9" t="str">
        <f t="shared" si="37"/>
        <v>230114</v>
      </c>
      <c r="D1786" s="9" t="str">
        <f>"230900615"</f>
        <v>230900615</v>
      </c>
      <c r="E1786" s="10">
        <v>70.08</v>
      </c>
      <c r="F1786" s="10"/>
      <c r="G1786" s="10">
        <v>81</v>
      </c>
      <c r="H1786" s="10"/>
      <c r="I1786" s="10">
        <v>76.63</v>
      </c>
    </row>
    <row r="1787" spans="1:9" s="3" customFormat="1" ht="21.75" customHeight="1">
      <c r="A1787" s="8" t="s">
        <v>13</v>
      </c>
      <c r="B1787" s="8" t="s">
        <v>10</v>
      </c>
      <c r="C1787" s="9" t="str">
        <f t="shared" si="37"/>
        <v>230114</v>
      </c>
      <c r="D1787" s="9" t="str">
        <f>"230900904"</f>
        <v>230900904</v>
      </c>
      <c r="E1787" s="10">
        <v>75.14</v>
      </c>
      <c r="F1787" s="10"/>
      <c r="G1787" s="10">
        <v>77.5</v>
      </c>
      <c r="H1787" s="10"/>
      <c r="I1787" s="10">
        <v>76.56</v>
      </c>
    </row>
    <row r="1788" spans="1:9" s="3" customFormat="1" ht="21.75" customHeight="1">
      <c r="A1788" s="8" t="s">
        <v>13</v>
      </c>
      <c r="B1788" s="8" t="s">
        <v>10</v>
      </c>
      <c r="C1788" s="9" t="str">
        <f t="shared" si="37"/>
        <v>230114</v>
      </c>
      <c r="D1788" s="9" t="str">
        <f>"230900709"</f>
        <v>230900709</v>
      </c>
      <c r="E1788" s="10">
        <v>74.930000000000007</v>
      </c>
      <c r="F1788" s="10"/>
      <c r="G1788" s="10">
        <v>77.5</v>
      </c>
      <c r="H1788" s="10"/>
      <c r="I1788" s="10">
        <v>76.47</v>
      </c>
    </row>
    <row r="1789" spans="1:9" s="3" customFormat="1" ht="21.75" customHeight="1">
      <c r="A1789" s="8" t="s">
        <v>13</v>
      </c>
      <c r="B1789" s="8" t="s">
        <v>10</v>
      </c>
      <c r="C1789" s="9" t="str">
        <f t="shared" si="37"/>
        <v>230114</v>
      </c>
      <c r="D1789" s="9" t="str">
        <f>"230901608"</f>
        <v>230901608</v>
      </c>
      <c r="E1789" s="10">
        <v>76.88</v>
      </c>
      <c r="F1789" s="10"/>
      <c r="G1789" s="10">
        <v>76</v>
      </c>
      <c r="H1789" s="10"/>
      <c r="I1789" s="10">
        <v>76.349999999999994</v>
      </c>
    </row>
    <row r="1790" spans="1:9" s="2" customFormat="1" ht="21.75" customHeight="1">
      <c r="A1790" s="8" t="s">
        <v>13</v>
      </c>
      <c r="B1790" s="8" t="s">
        <v>10</v>
      </c>
      <c r="C1790" s="9" t="str">
        <f t="shared" si="37"/>
        <v>230114</v>
      </c>
      <c r="D1790" s="9" t="str">
        <f>"230900818"</f>
        <v>230900818</v>
      </c>
      <c r="E1790" s="10">
        <v>84.01</v>
      </c>
      <c r="F1790" s="10"/>
      <c r="G1790" s="10">
        <v>71</v>
      </c>
      <c r="H1790" s="10"/>
      <c r="I1790" s="10">
        <v>76.2</v>
      </c>
    </row>
    <row r="1791" spans="1:9" s="2" customFormat="1" ht="21.75" customHeight="1">
      <c r="A1791" s="8" t="s">
        <v>13</v>
      </c>
      <c r="B1791" s="8" t="s">
        <v>10</v>
      </c>
      <c r="C1791" s="9" t="str">
        <f t="shared" si="37"/>
        <v>230114</v>
      </c>
      <c r="D1791" s="9" t="str">
        <f>"230901711"</f>
        <v>230901711</v>
      </c>
      <c r="E1791" s="10">
        <v>70.09</v>
      </c>
      <c r="F1791" s="10"/>
      <c r="G1791" s="10">
        <v>80</v>
      </c>
      <c r="H1791" s="10"/>
      <c r="I1791" s="10">
        <v>76.040000000000006</v>
      </c>
    </row>
    <row r="1792" spans="1:9" s="3" customFormat="1" ht="21.75" customHeight="1">
      <c r="A1792" s="8" t="s">
        <v>13</v>
      </c>
      <c r="B1792" s="8" t="s">
        <v>10</v>
      </c>
      <c r="C1792" s="9" t="str">
        <f t="shared" si="37"/>
        <v>230114</v>
      </c>
      <c r="D1792" s="9" t="str">
        <f>"230901401"</f>
        <v>230901401</v>
      </c>
      <c r="E1792" s="10">
        <v>75.16</v>
      </c>
      <c r="F1792" s="10"/>
      <c r="G1792" s="10">
        <v>76.5</v>
      </c>
      <c r="H1792" s="10"/>
      <c r="I1792" s="10">
        <v>75.959999999999994</v>
      </c>
    </row>
    <row r="1793" spans="1:9" s="3" customFormat="1" ht="21.75" customHeight="1">
      <c r="A1793" s="8" t="s">
        <v>13</v>
      </c>
      <c r="B1793" s="8" t="s">
        <v>10</v>
      </c>
      <c r="C1793" s="9" t="str">
        <f t="shared" si="37"/>
        <v>230114</v>
      </c>
      <c r="D1793" s="9" t="str">
        <f>"230901203"</f>
        <v>230901203</v>
      </c>
      <c r="E1793" s="10">
        <v>76.63</v>
      </c>
      <c r="F1793" s="10"/>
      <c r="G1793" s="10">
        <v>75.5</v>
      </c>
      <c r="H1793" s="10"/>
      <c r="I1793" s="10">
        <v>75.95</v>
      </c>
    </row>
    <row r="1794" spans="1:9" s="2" customFormat="1" ht="21.75" customHeight="1">
      <c r="A1794" s="8" t="s">
        <v>13</v>
      </c>
      <c r="B1794" s="8" t="s">
        <v>10</v>
      </c>
      <c r="C1794" s="9" t="str">
        <f t="shared" si="37"/>
        <v>230114</v>
      </c>
      <c r="D1794" s="9" t="str">
        <f>"230900912"</f>
        <v>230900912</v>
      </c>
      <c r="E1794" s="10">
        <v>74.349999999999994</v>
      </c>
      <c r="F1794" s="10"/>
      <c r="G1794" s="10">
        <v>77</v>
      </c>
      <c r="H1794" s="10"/>
      <c r="I1794" s="10">
        <v>75.94</v>
      </c>
    </row>
    <row r="1795" spans="1:9" s="2" customFormat="1" ht="21.75" customHeight="1">
      <c r="A1795" s="8" t="s">
        <v>13</v>
      </c>
      <c r="B1795" s="8" t="s">
        <v>10</v>
      </c>
      <c r="C1795" s="9" t="str">
        <f t="shared" si="37"/>
        <v>230114</v>
      </c>
      <c r="D1795" s="9" t="str">
        <f>"230901223"</f>
        <v>230901223</v>
      </c>
      <c r="E1795" s="10">
        <v>79.400000000000006</v>
      </c>
      <c r="F1795" s="10"/>
      <c r="G1795" s="10">
        <v>73.5</v>
      </c>
      <c r="H1795" s="10"/>
      <c r="I1795" s="10">
        <v>75.86</v>
      </c>
    </row>
    <row r="1796" spans="1:9" s="2" customFormat="1" ht="21.75" customHeight="1">
      <c r="A1796" s="8" t="s">
        <v>13</v>
      </c>
      <c r="B1796" s="8" t="s">
        <v>10</v>
      </c>
      <c r="C1796" s="9" t="str">
        <f t="shared" si="37"/>
        <v>230114</v>
      </c>
      <c r="D1796" s="9" t="str">
        <f>"230900602"</f>
        <v>230900602</v>
      </c>
      <c r="E1796" s="10">
        <v>77.67</v>
      </c>
      <c r="F1796" s="10"/>
      <c r="G1796" s="10">
        <v>74.5</v>
      </c>
      <c r="H1796" s="10"/>
      <c r="I1796" s="10">
        <v>75.77</v>
      </c>
    </row>
    <row r="1797" spans="1:9" s="2" customFormat="1" ht="21.75" customHeight="1">
      <c r="A1797" s="8" t="s">
        <v>13</v>
      </c>
      <c r="B1797" s="8" t="s">
        <v>10</v>
      </c>
      <c r="C1797" s="9" t="str">
        <f t="shared" si="37"/>
        <v>230114</v>
      </c>
      <c r="D1797" s="9" t="str">
        <f>"230901621"</f>
        <v>230901621</v>
      </c>
      <c r="E1797" s="10">
        <v>76.650000000000006</v>
      </c>
      <c r="F1797" s="10"/>
      <c r="G1797" s="10">
        <v>75</v>
      </c>
      <c r="H1797" s="10"/>
      <c r="I1797" s="10">
        <v>75.66</v>
      </c>
    </row>
    <row r="1798" spans="1:9" s="2" customFormat="1" ht="21.75" customHeight="1">
      <c r="A1798" s="8" t="s">
        <v>13</v>
      </c>
      <c r="B1798" s="8" t="s">
        <v>10</v>
      </c>
      <c r="C1798" s="9" t="str">
        <f t="shared" si="37"/>
        <v>230114</v>
      </c>
      <c r="D1798" s="9" t="str">
        <f>"230901210"</f>
        <v>230901210</v>
      </c>
      <c r="E1798" s="10">
        <v>72.86</v>
      </c>
      <c r="F1798" s="10"/>
      <c r="G1798" s="10">
        <v>77.5</v>
      </c>
      <c r="H1798" s="10"/>
      <c r="I1798" s="10">
        <v>75.64</v>
      </c>
    </row>
    <row r="1799" spans="1:9" s="2" customFormat="1" ht="21.75" customHeight="1">
      <c r="A1799" s="8" t="s">
        <v>13</v>
      </c>
      <c r="B1799" s="8" t="s">
        <v>10</v>
      </c>
      <c r="C1799" s="9" t="str">
        <f t="shared" si="37"/>
        <v>230114</v>
      </c>
      <c r="D1799" s="9" t="str">
        <f>"230901506"</f>
        <v>230901506</v>
      </c>
      <c r="E1799" s="10">
        <v>72.86</v>
      </c>
      <c r="F1799" s="10"/>
      <c r="G1799" s="10">
        <v>77.5</v>
      </c>
      <c r="H1799" s="10"/>
      <c r="I1799" s="10">
        <v>75.64</v>
      </c>
    </row>
    <row r="1800" spans="1:9" s="2" customFormat="1" ht="21.75" customHeight="1">
      <c r="A1800" s="8" t="s">
        <v>13</v>
      </c>
      <c r="B1800" s="8" t="s">
        <v>10</v>
      </c>
      <c r="C1800" s="9" t="str">
        <f t="shared" si="37"/>
        <v>230114</v>
      </c>
      <c r="D1800" s="9" t="str">
        <f>"230901509"</f>
        <v>230901509</v>
      </c>
      <c r="E1800" s="10">
        <v>78.84</v>
      </c>
      <c r="F1800" s="10"/>
      <c r="G1800" s="10">
        <v>73.5</v>
      </c>
      <c r="H1800" s="10"/>
      <c r="I1800" s="10">
        <v>75.64</v>
      </c>
    </row>
    <row r="1801" spans="1:9" s="3" customFormat="1" ht="21.75" customHeight="1">
      <c r="A1801" s="8" t="s">
        <v>13</v>
      </c>
      <c r="B1801" s="8" t="s">
        <v>10</v>
      </c>
      <c r="C1801" s="9" t="str">
        <f t="shared" si="37"/>
        <v>230114</v>
      </c>
      <c r="D1801" s="9" t="str">
        <f>"230901713"</f>
        <v>230901713</v>
      </c>
      <c r="E1801" s="10">
        <v>76.53</v>
      </c>
      <c r="F1801" s="10"/>
      <c r="G1801" s="10">
        <v>75</v>
      </c>
      <c r="H1801" s="10"/>
      <c r="I1801" s="10">
        <v>75.61</v>
      </c>
    </row>
    <row r="1802" spans="1:9" s="2" customFormat="1" ht="21.75" customHeight="1">
      <c r="A1802" s="8" t="s">
        <v>13</v>
      </c>
      <c r="B1802" s="8" t="s">
        <v>10</v>
      </c>
      <c r="C1802" s="9" t="str">
        <f t="shared" si="37"/>
        <v>230114</v>
      </c>
      <c r="D1802" s="9" t="str">
        <f>"230901010"</f>
        <v>230901010</v>
      </c>
      <c r="E1802" s="10">
        <v>78.48</v>
      </c>
      <c r="F1802" s="10"/>
      <c r="G1802" s="10">
        <v>73.5</v>
      </c>
      <c r="H1802" s="10"/>
      <c r="I1802" s="10">
        <v>75.489999999999995</v>
      </c>
    </row>
    <row r="1803" spans="1:9" s="2" customFormat="1" ht="21.75" customHeight="1">
      <c r="A1803" s="8" t="s">
        <v>13</v>
      </c>
      <c r="B1803" s="8" t="s">
        <v>10</v>
      </c>
      <c r="C1803" s="9" t="str">
        <f t="shared" si="37"/>
        <v>230114</v>
      </c>
      <c r="D1803" s="9" t="str">
        <f>"230901026"</f>
        <v>230901026</v>
      </c>
      <c r="E1803" s="10">
        <v>71.36</v>
      </c>
      <c r="F1803" s="10"/>
      <c r="G1803" s="10">
        <v>78</v>
      </c>
      <c r="H1803" s="10"/>
      <c r="I1803" s="10">
        <v>75.34</v>
      </c>
    </row>
    <row r="1804" spans="1:9" s="3" customFormat="1" ht="21.75" customHeight="1">
      <c r="A1804" s="8" t="s">
        <v>13</v>
      </c>
      <c r="B1804" s="8" t="s">
        <v>10</v>
      </c>
      <c r="C1804" s="9" t="str">
        <f t="shared" si="37"/>
        <v>230114</v>
      </c>
      <c r="D1804" s="9" t="str">
        <f>"230901121"</f>
        <v>230901121</v>
      </c>
      <c r="E1804" s="10">
        <v>79.41</v>
      </c>
      <c r="F1804" s="10"/>
      <c r="G1804" s="10">
        <v>72.5</v>
      </c>
      <c r="H1804" s="10"/>
      <c r="I1804" s="10">
        <v>75.260000000000005</v>
      </c>
    </row>
    <row r="1805" spans="1:9" s="2" customFormat="1" ht="21.75" customHeight="1">
      <c r="A1805" s="8" t="s">
        <v>13</v>
      </c>
      <c r="B1805" s="8" t="s">
        <v>10</v>
      </c>
      <c r="C1805" s="9" t="str">
        <f t="shared" si="37"/>
        <v>230114</v>
      </c>
      <c r="D1805" s="9" t="str">
        <f>"230901618"</f>
        <v>230901618</v>
      </c>
      <c r="E1805" s="10">
        <v>77.91</v>
      </c>
      <c r="F1805" s="10"/>
      <c r="G1805" s="10">
        <v>73.5</v>
      </c>
      <c r="H1805" s="10"/>
      <c r="I1805" s="10">
        <v>75.260000000000005</v>
      </c>
    </row>
    <row r="1806" spans="1:9" s="2" customFormat="1" ht="21.75" customHeight="1">
      <c r="A1806" s="8" t="s">
        <v>13</v>
      </c>
      <c r="B1806" s="8" t="s">
        <v>10</v>
      </c>
      <c r="C1806" s="9" t="str">
        <f t="shared" si="37"/>
        <v>230114</v>
      </c>
      <c r="D1806" s="9" t="str">
        <f>"230900730"</f>
        <v>230900730</v>
      </c>
      <c r="E1806" s="10">
        <v>77.8</v>
      </c>
      <c r="F1806" s="10"/>
      <c r="G1806" s="10">
        <v>73.5</v>
      </c>
      <c r="H1806" s="10"/>
      <c r="I1806" s="10">
        <v>75.22</v>
      </c>
    </row>
    <row r="1807" spans="1:9" s="2" customFormat="1" ht="21.75" customHeight="1">
      <c r="A1807" s="8" t="s">
        <v>13</v>
      </c>
      <c r="B1807" s="8" t="s">
        <v>10</v>
      </c>
      <c r="C1807" s="9" t="str">
        <f t="shared" si="37"/>
        <v>230114</v>
      </c>
      <c r="D1807" s="9" t="str">
        <f>"230900817"</f>
        <v>230900817</v>
      </c>
      <c r="E1807" s="10">
        <v>73.900000000000006</v>
      </c>
      <c r="F1807" s="10"/>
      <c r="G1807" s="10">
        <v>76</v>
      </c>
      <c r="H1807" s="10"/>
      <c r="I1807" s="10">
        <v>75.16</v>
      </c>
    </row>
    <row r="1808" spans="1:9" s="2" customFormat="1" ht="21.75" customHeight="1">
      <c r="A1808" s="8" t="s">
        <v>13</v>
      </c>
      <c r="B1808" s="8" t="s">
        <v>10</v>
      </c>
      <c r="C1808" s="9" t="str">
        <f t="shared" si="37"/>
        <v>230114</v>
      </c>
      <c r="D1808" s="9" t="str">
        <f>"230901705"</f>
        <v>230901705</v>
      </c>
      <c r="E1808" s="10">
        <v>72.39</v>
      </c>
      <c r="F1808" s="10"/>
      <c r="G1808" s="10">
        <v>77</v>
      </c>
      <c r="H1808" s="10"/>
      <c r="I1808" s="10">
        <v>75.16</v>
      </c>
    </row>
    <row r="1809" spans="1:9" s="3" customFormat="1" ht="21.75" customHeight="1">
      <c r="A1809" s="8" t="s">
        <v>13</v>
      </c>
      <c r="B1809" s="8" t="s">
        <v>10</v>
      </c>
      <c r="C1809" s="9" t="str">
        <f t="shared" si="37"/>
        <v>230114</v>
      </c>
      <c r="D1809" s="9" t="str">
        <f>"230901106"</f>
        <v>230901106</v>
      </c>
      <c r="E1809" s="10">
        <v>77.33</v>
      </c>
      <c r="F1809" s="10"/>
      <c r="G1809" s="10">
        <v>73.5</v>
      </c>
      <c r="H1809" s="10"/>
      <c r="I1809" s="10">
        <v>75.03</v>
      </c>
    </row>
    <row r="1810" spans="1:9" s="2" customFormat="1" ht="21.75" customHeight="1">
      <c r="A1810" s="8" t="s">
        <v>13</v>
      </c>
      <c r="B1810" s="8" t="s">
        <v>10</v>
      </c>
      <c r="C1810" s="9" t="str">
        <f t="shared" si="37"/>
        <v>230114</v>
      </c>
      <c r="D1810" s="9" t="str">
        <f>"230901319"</f>
        <v>230901319</v>
      </c>
      <c r="E1810" s="10">
        <v>69.75</v>
      </c>
      <c r="F1810" s="10"/>
      <c r="G1810" s="10">
        <v>78.5</v>
      </c>
      <c r="H1810" s="10"/>
      <c r="I1810" s="10">
        <v>75</v>
      </c>
    </row>
    <row r="1811" spans="1:9" s="2" customFormat="1" ht="21.75" customHeight="1">
      <c r="A1811" s="8" t="s">
        <v>13</v>
      </c>
      <c r="B1811" s="8" t="s">
        <v>10</v>
      </c>
      <c r="C1811" s="9" t="str">
        <f t="shared" si="37"/>
        <v>230114</v>
      </c>
      <c r="D1811" s="9" t="str">
        <f>"230901517"</f>
        <v>230901517</v>
      </c>
      <c r="E1811" s="10">
        <v>80.89</v>
      </c>
      <c r="F1811" s="10"/>
      <c r="G1811" s="10">
        <v>71</v>
      </c>
      <c r="H1811" s="10"/>
      <c r="I1811" s="10">
        <v>74.959999999999994</v>
      </c>
    </row>
    <row r="1812" spans="1:9" s="2" customFormat="1" ht="21.75" customHeight="1">
      <c r="A1812" s="8" t="s">
        <v>13</v>
      </c>
      <c r="B1812" s="8" t="s">
        <v>10</v>
      </c>
      <c r="C1812" s="9" t="str">
        <f t="shared" si="37"/>
        <v>230114</v>
      </c>
      <c r="D1812" s="9" t="str">
        <f>"230900707"</f>
        <v>230900707</v>
      </c>
      <c r="E1812" s="10">
        <v>73.19</v>
      </c>
      <c r="F1812" s="10"/>
      <c r="G1812" s="10">
        <v>76</v>
      </c>
      <c r="H1812" s="10"/>
      <c r="I1812" s="10">
        <v>74.88</v>
      </c>
    </row>
    <row r="1813" spans="1:9" s="3" customFormat="1" ht="21.75" customHeight="1">
      <c r="A1813" s="8" t="s">
        <v>13</v>
      </c>
      <c r="B1813" s="8" t="s">
        <v>10</v>
      </c>
      <c r="C1813" s="9" t="str">
        <f t="shared" si="37"/>
        <v>230114</v>
      </c>
      <c r="D1813" s="9" t="str">
        <f>"230901328"</f>
        <v>230901328</v>
      </c>
      <c r="E1813" s="10">
        <v>75.27</v>
      </c>
      <c r="F1813" s="10"/>
      <c r="G1813" s="10">
        <v>74.5</v>
      </c>
      <c r="H1813" s="10"/>
      <c r="I1813" s="10">
        <v>74.81</v>
      </c>
    </row>
    <row r="1814" spans="1:9" s="2" customFormat="1" ht="21.75" customHeight="1">
      <c r="A1814" s="8" t="s">
        <v>13</v>
      </c>
      <c r="B1814" s="8" t="s">
        <v>10</v>
      </c>
      <c r="C1814" s="9" t="str">
        <f t="shared" si="37"/>
        <v>230114</v>
      </c>
      <c r="D1814" s="9" t="str">
        <f>"230901306"</f>
        <v>230901306</v>
      </c>
      <c r="E1814" s="10">
        <v>82.74</v>
      </c>
      <c r="F1814" s="10"/>
      <c r="G1814" s="10">
        <v>69.5</v>
      </c>
      <c r="H1814" s="10"/>
      <c r="I1814" s="10">
        <v>74.8</v>
      </c>
    </row>
    <row r="1815" spans="1:9" s="2" customFormat="1" ht="21.75" customHeight="1">
      <c r="A1815" s="8" t="s">
        <v>13</v>
      </c>
      <c r="B1815" s="8" t="s">
        <v>10</v>
      </c>
      <c r="C1815" s="9" t="str">
        <f t="shared" si="37"/>
        <v>230114</v>
      </c>
      <c r="D1815" s="9" t="str">
        <f>"230901610"</f>
        <v>230901610</v>
      </c>
      <c r="E1815" s="10">
        <v>69.97</v>
      </c>
      <c r="F1815" s="10"/>
      <c r="G1815" s="10">
        <v>78</v>
      </c>
      <c r="H1815" s="10"/>
      <c r="I1815" s="10">
        <v>74.790000000000006</v>
      </c>
    </row>
    <row r="1816" spans="1:9" s="2" customFormat="1" ht="21.75" customHeight="1">
      <c r="A1816" s="8" t="s">
        <v>13</v>
      </c>
      <c r="B1816" s="8" t="s">
        <v>10</v>
      </c>
      <c r="C1816" s="9" t="str">
        <f t="shared" si="37"/>
        <v>230114</v>
      </c>
      <c r="D1816" s="9" t="str">
        <f>"230901428"</f>
        <v>230901428</v>
      </c>
      <c r="E1816" s="10">
        <v>72.040000000000006</v>
      </c>
      <c r="F1816" s="10"/>
      <c r="G1816" s="10">
        <v>76.5</v>
      </c>
      <c r="H1816" s="10"/>
      <c r="I1816" s="10">
        <v>74.72</v>
      </c>
    </row>
    <row r="1817" spans="1:9" s="3" customFormat="1" ht="21.75" customHeight="1">
      <c r="A1817" s="8" t="s">
        <v>13</v>
      </c>
      <c r="B1817" s="8" t="s">
        <v>10</v>
      </c>
      <c r="C1817" s="9" t="str">
        <f t="shared" si="37"/>
        <v>230114</v>
      </c>
      <c r="D1817" s="9" t="str">
        <f>"230901424"</f>
        <v>230901424</v>
      </c>
      <c r="E1817" s="10">
        <v>74.010000000000005</v>
      </c>
      <c r="F1817" s="10"/>
      <c r="G1817" s="10">
        <v>75</v>
      </c>
      <c r="H1817" s="10"/>
      <c r="I1817" s="10">
        <v>74.599999999999994</v>
      </c>
    </row>
    <row r="1818" spans="1:9" s="3" customFormat="1" ht="21.75" customHeight="1">
      <c r="A1818" s="8" t="s">
        <v>13</v>
      </c>
      <c r="B1818" s="8" t="s">
        <v>10</v>
      </c>
      <c r="C1818" s="9" t="str">
        <f t="shared" si="37"/>
        <v>230114</v>
      </c>
      <c r="D1818" s="9" t="str">
        <f>"230901601"</f>
        <v>230901601</v>
      </c>
      <c r="E1818" s="10">
        <v>70.900000000000006</v>
      </c>
      <c r="F1818" s="10"/>
      <c r="G1818" s="10">
        <v>77</v>
      </c>
      <c r="H1818" s="10"/>
      <c r="I1818" s="10">
        <v>74.56</v>
      </c>
    </row>
    <row r="1819" spans="1:9" s="2" customFormat="1" ht="21.75" customHeight="1">
      <c r="A1819" s="8" t="s">
        <v>13</v>
      </c>
      <c r="B1819" s="8" t="s">
        <v>10</v>
      </c>
      <c r="C1819" s="9" t="str">
        <f t="shared" si="37"/>
        <v>230114</v>
      </c>
      <c r="D1819" s="9" t="str">
        <f>"230901317"</f>
        <v>230901317</v>
      </c>
      <c r="E1819" s="10">
        <v>78.12</v>
      </c>
      <c r="F1819" s="10"/>
      <c r="G1819" s="10">
        <v>72</v>
      </c>
      <c r="H1819" s="10"/>
      <c r="I1819" s="10">
        <v>74.45</v>
      </c>
    </row>
    <row r="1820" spans="1:9" s="2" customFormat="1" ht="21.75" customHeight="1">
      <c r="A1820" s="8" t="s">
        <v>13</v>
      </c>
      <c r="B1820" s="8" t="s">
        <v>10</v>
      </c>
      <c r="C1820" s="9" t="str">
        <f t="shared" si="37"/>
        <v>230114</v>
      </c>
      <c r="D1820" s="9" t="str">
        <f>"230901322"</f>
        <v>230901322</v>
      </c>
      <c r="E1820" s="10">
        <v>78.819999999999993</v>
      </c>
      <c r="F1820" s="10"/>
      <c r="G1820" s="10">
        <v>71.5</v>
      </c>
      <c r="H1820" s="10"/>
      <c r="I1820" s="10">
        <v>74.430000000000007</v>
      </c>
    </row>
    <row r="1821" spans="1:9" s="2" customFormat="1" ht="21.75" customHeight="1">
      <c r="A1821" s="8" t="s">
        <v>13</v>
      </c>
      <c r="B1821" s="8" t="s">
        <v>10</v>
      </c>
      <c r="C1821" s="9" t="str">
        <f t="shared" si="37"/>
        <v>230114</v>
      </c>
      <c r="D1821" s="9" t="str">
        <f>"230900802"</f>
        <v>230900802</v>
      </c>
      <c r="E1821" s="10">
        <v>73.53</v>
      </c>
      <c r="F1821" s="10"/>
      <c r="G1821" s="10">
        <v>75</v>
      </c>
      <c r="H1821" s="10"/>
      <c r="I1821" s="10">
        <v>74.41</v>
      </c>
    </row>
    <row r="1822" spans="1:9" s="2" customFormat="1" ht="21.75" customHeight="1">
      <c r="A1822" s="8" t="s">
        <v>13</v>
      </c>
      <c r="B1822" s="8" t="s">
        <v>10</v>
      </c>
      <c r="C1822" s="9" t="str">
        <f t="shared" si="37"/>
        <v>230114</v>
      </c>
      <c r="D1822" s="9" t="str">
        <f>"230900627"</f>
        <v>230900627</v>
      </c>
      <c r="E1822" s="10">
        <v>75.72</v>
      </c>
      <c r="F1822" s="10"/>
      <c r="G1822" s="10">
        <v>73.5</v>
      </c>
      <c r="H1822" s="10"/>
      <c r="I1822" s="10">
        <v>74.39</v>
      </c>
    </row>
    <row r="1823" spans="1:9" s="2" customFormat="1" ht="21.75" customHeight="1">
      <c r="A1823" s="8" t="s">
        <v>13</v>
      </c>
      <c r="B1823" s="8" t="s">
        <v>10</v>
      </c>
      <c r="C1823" s="9" t="str">
        <f t="shared" si="37"/>
        <v>230114</v>
      </c>
      <c r="D1823" s="9" t="str">
        <f>"230900902"</f>
        <v>230900902</v>
      </c>
      <c r="E1823" s="10">
        <v>68.13</v>
      </c>
      <c r="F1823" s="10"/>
      <c r="G1823" s="10">
        <v>78.5</v>
      </c>
      <c r="H1823" s="10"/>
      <c r="I1823" s="10">
        <v>74.349999999999994</v>
      </c>
    </row>
    <row r="1824" spans="1:9" s="3" customFormat="1" ht="21.75" customHeight="1">
      <c r="A1824" s="8" t="s">
        <v>13</v>
      </c>
      <c r="B1824" s="8" t="s">
        <v>10</v>
      </c>
      <c r="C1824" s="9" t="str">
        <f t="shared" si="37"/>
        <v>230114</v>
      </c>
      <c r="D1824" s="9" t="str">
        <f>"230901409"</f>
        <v>230901409</v>
      </c>
      <c r="E1824" s="10">
        <v>79.180000000000007</v>
      </c>
      <c r="F1824" s="10"/>
      <c r="G1824" s="10">
        <v>71</v>
      </c>
      <c r="H1824" s="10"/>
      <c r="I1824" s="10">
        <v>74.27</v>
      </c>
    </row>
    <row r="1825" spans="1:9" s="2" customFormat="1" ht="21.75" customHeight="1">
      <c r="A1825" s="8" t="s">
        <v>13</v>
      </c>
      <c r="B1825" s="8" t="s">
        <v>10</v>
      </c>
      <c r="C1825" s="9" t="str">
        <f t="shared" si="37"/>
        <v>230114</v>
      </c>
      <c r="D1825" s="9" t="str">
        <f>"230900624"</f>
        <v>230900624</v>
      </c>
      <c r="E1825" s="10">
        <v>72.38</v>
      </c>
      <c r="F1825" s="10"/>
      <c r="G1825" s="10">
        <v>75.5</v>
      </c>
      <c r="H1825" s="10"/>
      <c r="I1825" s="10">
        <v>74.25</v>
      </c>
    </row>
    <row r="1826" spans="1:9" s="3" customFormat="1" ht="21.75" customHeight="1">
      <c r="A1826" s="8" t="s">
        <v>13</v>
      </c>
      <c r="B1826" s="8" t="s">
        <v>10</v>
      </c>
      <c r="C1826" s="9" t="str">
        <f t="shared" si="37"/>
        <v>230114</v>
      </c>
      <c r="D1826" s="9" t="str">
        <f>"230901020"</f>
        <v>230901020</v>
      </c>
      <c r="E1826" s="10">
        <v>73.09</v>
      </c>
      <c r="F1826" s="10"/>
      <c r="G1826" s="10">
        <v>75</v>
      </c>
      <c r="H1826" s="10"/>
      <c r="I1826" s="10">
        <v>74.239999999999995</v>
      </c>
    </row>
    <row r="1827" spans="1:9" s="2" customFormat="1" ht="21.75" customHeight="1">
      <c r="A1827" s="8" t="s">
        <v>13</v>
      </c>
      <c r="B1827" s="8" t="s">
        <v>10</v>
      </c>
      <c r="C1827" s="9" t="str">
        <f t="shared" si="37"/>
        <v>230114</v>
      </c>
      <c r="D1827" s="9" t="str">
        <f>"230901109"</f>
        <v>230901109</v>
      </c>
      <c r="E1827" s="10">
        <v>74.569999999999993</v>
      </c>
      <c r="F1827" s="10"/>
      <c r="G1827" s="10">
        <v>74</v>
      </c>
      <c r="H1827" s="10"/>
      <c r="I1827" s="10">
        <v>74.23</v>
      </c>
    </row>
    <row r="1828" spans="1:9" s="3" customFormat="1" ht="21.75" customHeight="1">
      <c r="A1828" s="8" t="s">
        <v>13</v>
      </c>
      <c r="B1828" s="8" t="s">
        <v>10</v>
      </c>
      <c r="C1828" s="9" t="str">
        <f t="shared" si="37"/>
        <v>230114</v>
      </c>
      <c r="D1828" s="9" t="str">
        <f>"230901022"</f>
        <v>230901022</v>
      </c>
      <c r="E1828" s="10">
        <v>71.48</v>
      </c>
      <c r="F1828" s="10"/>
      <c r="G1828" s="10">
        <v>76</v>
      </c>
      <c r="H1828" s="10"/>
      <c r="I1828" s="10">
        <v>74.19</v>
      </c>
    </row>
    <row r="1829" spans="1:9" s="3" customFormat="1" ht="21.75" customHeight="1">
      <c r="A1829" s="8" t="s">
        <v>13</v>
      </c>
      <c r="B1829" s="8" t="s">
        <v>10</v>
      </c>
      <c r="C1829" s="9" t="str">
        <f t="shared" si="37"/>
        <v>230114</v>
      </c>
      <c r="D1829" s="9" t="str">
        <f>"230901011"</f>
        <v>230901011</v>
      </c>
      <c r="E1829" s="10">
        <v>69.650000000000006</v>
      </c>
      <c r="F1829" s="10"/>
      <c r="G1829" s="10">
        <v>77</v>
      </c>
      <c r="H1829" s="10"/>
      <c r="I1829" s="10">
        <v>74.06</v>
      </c>
    </row>
    <row r="1830" spans="1:9" s="2" customFormat="1" ht="21.75" customHeight="1">
      <c r="A1830" s="8" t="s">
        <v>13</v>
      </c>
      <c r="B1830" s="8" t="s">
        <v>10</v>
      </c>
      <c r="C1830" s="9" t="str">
        <f t="shared" si="37"/>
        <v>230114</v>
      </c>
      <c r="D1830" s="9" t="str">
        <f>"230901512"</f>
        <v>230901512</v>
      </c>
      <c r="E1830" s="10">
        <v>71.8</v>
      </c>
      <c r="F1830" s="10"/>
      <c r="G1830" s="10">
        <v>75.5</v>
      </c>
      <c r="H1830" s="10"/>
      <c r="I1830" s="10">
        <v>74.02</v>
      </c>
    </row>
    <row r="1831" spans="1:9" s="2" customFormat="1" ht="21.75" customHeight="1">
      <c r="A1831" s="8" t="s">
        <v>13</v>
      </c>
      <c r="B1831" s="8" t="s">
        <v>10</v>
      </c>
      <c r="C1831" s="9" t="str">
        <f t="shared" si="37"/>
        <v>230114</v>
      </c>
      <c r="D1831" s="9" t="str">
        <f>"230901710"</f>
        <v>230901710</v>
      </c>
      <c r="E1831" s="10">
        <v>65.709999999999994</v>
      </c>
      <c r="F1831" s="10"/>
      <c r="G1831" s="10">
        <v>79.5</v>
      </c>
      <c r="H1831" s="10"/>
      <c r="I1831" s="10">
        <v>73.98</v>
      </c>
    </row>
    <row r="1832" spans="1:9" s="2" customFormat="1" ht="21.75" customHeight="1">
      <c r="A1832" s="8" t="s">
        <v>13</v>
      </c>
      <c r="B1832" s="8" t="s">
        <v>10</v>
      </c>
      <c r="C1832" s="9" t="str">
        <f t="shared" si="37"/>
        <v>230114</v>
      </c>
      <c r="D1832" s="9" t="str">
        <f>"230900619"</f>
        <v>230900619</v>
      </c>
      <c r="E1832" s="10">
        <v>70.89</v>
      </c>
      <c r="F1832" s="10"/>
      <c r="G1832" s="10">
        <v>76</v>
      </c>
      <c r="H1832" s="10"/>
      <c r="I1832" s="10">
        <v>73.959999999999994</v>
      </c>
    </row>
    <row r="1833" spans="1:9" s="2" customFormat="1" ht="21.75" customHeight="1">
      <c r="A1833" s="8" t="s">
        <v>13</v>
      </c>
      <c r="B1833" s="8" t="s">
        <v>10</v>
      </c>
      <c r="C1833" s="9" t="str">
        <f t="shared" si="37"/>
        <v>230114</v>
      </c>
      <c r="D1833" s="9" t="str">
        <f>"230901218"</f>
        <v>230901218</v>
      </c>
      <c r="E1833" s="10">
        <v>77.099999999999994</v>
      </c>
      <c r="F1833" s="10"/>
      <c r="G1833" s="10">
        <v>71.5</v>
      </c>
      <c r="H1833" s="10"/>
      <c r="I1833" s="10">
        <v>73.739999999999995</v>
      </c>
    </row>
    <row r="1834" spans="1:9" s="3" customFormat="1" ht="21.75" customHeight="1">
      <c r="A1834" s="8" t="s">
        <v>13</v>
      </c>
      <c r="B1834" s="8" t="s">
        <v>10</v>
      </c>
      <c r="C1834" s="9" t="str">
        <f t="shared" si="37"/>
        <v>230114</v>
      </c>
      <c r="D1834" s="9" t="str">
        <f>"230900616"</f>
        <v>230900616</v>
      </c>
      <c r="E1834" s="10">
        <v>71.819999999999993</v>
      </c>
      <c r="F1834" s="10"/>
      <c r="G1834" s="10">
        <v>75</v>
      </c>
      <c r="H1834" s="10"/>
      <c r="I1834" s="10">
        <v>73.73</v>
      </c>
    </row>
    <row r="1835" spans="1:9" s="2" customFormat="1" ht="21.75" customHeight="1">
      <c r="A1835" s="8" t="s">
        <v>13</v>
      </c>
      <c r="B1835" s="8" t="s">
        <v>10</v>
      </c>
      <c r="C1835" s="9" t="str">
        <f t="shared" ref="C1835:C1898" si="38">"230114"</f>
        <v>230114</v>
      </c>
      <c r="D1835" s="9" t="str">
        <f>"230900705"</f>
        <v>230900705</v>
      </c>
      <c r="E1835" s="10">
        <v>75.38</v>
      </c>
      <c r="F1835" s="10"/>
      <c r="G1835" s="10">
        <v>72.5</v>
      </c>
      <c r="H1835" s="10"/>
      <c r="I1835" s="10">
        <v>73.650000000000006</v>
      </c>
    </row>
    <row r="1836" spans="1:9" s="2" customFormat="1" ht="21.75" customHeight="1">
      <c r="A1836" s="8" t="s">
        <v>13</v>
      </c>
      <c r="B1836" s="8" t="s">
        <v>10</v>
      </c>
      <c r="C1836" s="9" t="str">
        <f t="shared" si="38"/>
        <v>230114</v>
      </c>
      <c r="D1836" s="9" t="str">
        <f>"230900717"</f>
        <v>230900717</v>
      </c>
      <c r="E1836" s="10">
        <v>72.97</v>
      </c>
      <c r="F1836" s="10"/>
      <c r="G1836" s="10">
        <v>74</v>
      </c>
      <c r="H1836" s="10"/>
      <c r="I1836" s="10">
        <v>73.59</v>
      </c>
    </row>
    <row r="1837" spans="1:9" s="2" customFormat="1" ht="21.75" customHeight="1">
      <c r="A1837" s="8" t="s">
        <v>13</v>
      </c>
      <c r="B1837" s="8" t="s">
        <v>10</v>
      </c>
      <c r="C1837" s="9" t="str">
        <f t="shared" si="38"/>
        <v>230114</v>
      </c>
      <c r="D1837" s="9" t="str">
        <f>"230901124"</f>
        <v>230901124</v>
      </c>
      <c r="E1837" s="10">
        <v>74.8</v>
      </c>
      <c r="F1837" s="10"/>
      <c r="G1837" s="10">
        <v>72.5</v>
      </c>
      <c r="H1837" s="10"/>
      <c r="I1837" s="10">
        <v>73.42</v>
      </c>
    </row>
    <row r="1838" spans="1:9" s="2" customFormat="1" ht="21.75" customHeight="1">
      <c r="A1838" s="8" t="s">
        <v>13</v>
      </c>
      <c r="B1838" s="8" t="s">
        <v>10</v>
      </c>
      <c r="C1838" s="9" t="str">
        <f t="shared" si="38"/>
        <v>230114</v>
      </c>
      <c r="D1838" s="9" t="str">
        <f>"230901104"</f>
        <v>230901104</v>
      </c>
      <c r="E1838" s="10">
        <v>80.67</v>
      </c>
      <c r="F1838" s="10"/>
      <c r="G1838" s="10">
        <v>68.5</v>
      </c>
      <c r="H1838" s="10"/>
      <c r="I1838" s="10">
        <v>73.37</v>
      </c>
    </row>
    <row r="1839" spans="1:9" s="3" customFormat="1" ht="21.75" customHeight="1">
      <c r="A1839" s="8" t="s">
        <v>13</v>
      </c>
      <c r="B1839" s="8" t="s">
        <v>10</v>
      </c>
      <c r="C1839" s="9" t="str">
        <f t="shared" si="38"/>
        <v>230114</v>
      </c>
      <c r="D1839" s="9" t="str">
        <f>"230901103"</f>
        <v>230901103</v>
      </c>
      <c r="E1839" s="10">
        <v>70.900000000000006</v>
      </c>
      <c r="F1839" s="10"/>
      <c r="G1839" s="10">
        <v>75</v>
      </c>
      <c r="H1839" s="10"/>
      <c r="I1839" s="10">
        <v>73.36</v>
      </c>
    </row>
    <row r="1840" spans="1:9" s="2" customFormat="1" ht="21.75" customHeight="1">
      <c r="A1840" s="8" t="s">
        <v>13</v>
      </c>
      <c r="B1840" s="8" t="s">
        <v>10</v>
      </c>
      <c r="C1840" s="9" t="str">
        <f t="shared" si="38"/>
        <v>230114</v>
      </c>
      <c r="D1840" s="9" t="str">
        <f>"230901316"</f>
        <v>230901316</v>
      </c>
      <c r="E1840" s="10">
        <v>69.97</v>
      </c>
      <c r="F1840" s="10"/>
      <c r="G1840" s="10">
        <v>75.5</v>
      </c>
      <c r="H1840" s="10"/>
      <c r="I1840" s="10">
        <v>73.290000000000006</v>
      </c>
    </row>
    <row r="1841" spans="1:9" s="2" customFormat="1" ht="21.75" customHeight="1">
      <c r="A1841" s="8" t="s">
        <v>13</v>
      </c>
      <c r="B1841" s="8" t="s">
        <v>10</v>
      </c>
      <c r="C1841" s="9" t="str">
        <f t="shared" si="38"/>
        <v>230114</v>
      </c>
      <c r="D1841" s="9" t="str">
        <f>"230900723"</f>
        <v>230900723</v>
      </c>
      <c r="E1841" s="10">
        <v>72.95</v>
      </c>
      <c r="F1841" s="10"/>
      <c r="G1841" s="10">
        <v>73.5</v>
      </c>
      <c r="H1841" s="10"/>
      <c r="I1841" s="10">
        <v>73.28</v>
      </c>
    </row>
    <row r="1842" spans="1:9" s="2" customFormat="1" ht="21.75" customHeight="1">
      <c r="A1842" s="8" t="s">
        <v>13</v>
      </c>
      <c r="B1842" s="8" t="s">
        <v>10</v>
      </c>
      <c r="C1842" s="9" t="str">
        <f t="shared" si="38"/>
        <v>230114</v>
      </c>
      <c r="D1842" s="9" t="str">
        <f>"230901228"</f>
        <v>230901228</v>
      </c>
      <c r="E1842" s="10">
        <v>70.33</v>
      </c>
      <c r="F1842" s="10"/>
      <c r="G1842" s="10">
        <v>75</v>
      </c>
      <c r="H1842" s="10"/>
      <c r="I1842" s="10">
        <v>73.13</v>
      </c>
    </row>
    <row r="1843" spans="1:9" s="3" customFormat="1" ht="21.75" customHeight="1">
      <c r="A1843" s="8" t="s">
        <v>13</v>
      </c>
      <c r="B1843" s="8" t="s">
        <v>10</v>
      </c>
      <c r="C1843" s="9" t="str">
        <f t="shared" si="38"/>
        <v>230114</v>
      </c>
      <c r="D1843" s="9" t="str">
        <f>"230900714"</f>
        <v>230900714</v>
      </c>
      <c r="E1843" s="10">
        <v>74.010000000000005</v>
      </c>
      <c r="F1843" s="10"/>
      <c r="G1843" s="10">
        <v>72.5</v>
      </c>
      <c r="H1843" s="10"/>
      <c r="I1843" s="10">
        <v>73.099999999999994</v>
      </c>
    </row>
    <row r="1844" spans="1:9" s="3" customFormat="1" ht="21.75" customHeight="1">
      <c r="A1844" s="8" t="s">
        <v>13</v>
      </c>
      <c r="B1844" s="8" t="s">
        <v>10</v>
      </c>
      <c r="C1844" s="9" t="str">
        <f t="shared" si="38"/>
        <v>230114</v>
      </c>
      <c r="D1844" s="9" t="str">
        <f>"230900710"</f>
        <v>230900710</v>
      </c>
      <c r="E1844" s="10">
        <v>70.209999999999994</v>
      </c>
      <c r="F1844" s="10"/>
      <c r="G1844" s="10">
        <v>75</v>
      </c>
      <c r="H1844" s="10"/>
      <c r="I1844" s="10">
        <v>73.08</v>
      </c>
    </row>
    <row r="1845" spans="1:9" s="2" customFormat="1" ht="21.75" customHeight="1">
      <c r="A1845" s="8" t="s">
        <v>13</v>
      </c>
      <c r="B1845" s="8" t="s">
        <v>10</v>
      </c>
      <c r="C1845" s="9" t="str">
        <f t="shared" si="38"/>
        <v>230114</v>
      </c>
      <c r="D1845" s="9" t="str">
        <f>"230900720"</f>
        <v>230900720</v>
      </c>
      <c r="E1845" s="10">
        <v>71.69</v>
      </c>
      <c r="F1845" s="10"/>
      <c r="G1845" s="10">
        <v>74</v>
      </c>
      <c r="H1845" s="10"/>
      <c r="I1845" s="10">
        <v>73.08</v>
      </c>
    </row>
    <row r="1846" spans="1:9" s="2" customFormat="1" ht="21.75" customHeight="1">
      <c r="A1846" s="8" t="s">
        <v>13</v>
      </c>
      <c r="B1846" s="8" t="s">
        <v>10</v>
      </c>
      <c r="C1846" s="9" t="str">
        <f t="shared" si="38"/>
        <v>230114</v>
      </c>
      <c r="D1846" s="9" t="str">
        <f>"230901013"</f>
        <v>230901013</v>
      </c>
      <c r="E1846" s="10">
        <v>82.18</v>
      </c>
      <c r="F1846" s="10"/>
      <c r="G1846" s="10">
        <v>67</v>
      </c>
      <c r="H1846" s="10"/>
      <c r="I1846" s="10">
        <v>73.069999999999993</v>
      </c>
    </row>
    <row r="1847" spans="1:9" s="2" customFormat="1" ht="21.75" customHeight="1">
      <c r="A1847" s="8" t="s">
        <v>13</v>
      </c>
      <c r="B1847" s="8" t="s">
        <v>10</v>
      </c>
      <c r="C1847" s="9" t="str">
        <f t="shared" si="38"/>
        <v>230114</v>
      </c>
      <c r="D1847" s="9" t="str">
        <f>"230900821"</f>
        <v>230900821</v>
      </c>
      <c r="E1847" s="10">
        <v>80.45</v>
      </c>
      <c r="F1847" s="10"/>
      <c r="G1847" s="10">
        <v>68</v>
      </c>
      <c r="H1847" s="10"/>
      <c r="I1847" s="10">
        <v>72.98</v>
      </c>
    </row>
    <row r="1848" spans="1:9" s="2" customFormat="1" ht="21.75" customHeight="1">
      <c r="A1848" s="8" t="s">
        <v>13</v>
      </c>
      <c r="B1848" s="8" t="s">
        <v>10</v>
      </c>
      <c r="C1848" s="9" t="str">
        <f t="shared" si="38"/>
        <v>230114</v>
      </c>
      <c r="D1848" s="9" t="str">
        <f>"230901006"</f>
        <v>230901006</v>
      </c>
      <c r="E1848" s="10">
        <v>71.459999999999994</v>
      </c>
      <c r="F1848" s="10"/>
      <c r="G1848" s="10">
        <v>74</v>
      </c>
      <c r="H1848" s="10"/>
      <c r="I1848" s="10">
        <v>72.98</v>
      </c>
    </row>
    <row r="1849" spans="1:9" s="2" customFormat="1" ht="21.75" customHeight="1">
      <c r="A1849" s="8" t="s">
        <v>13</v>
      </c>
      <c r="B1849" s="8" t="s">
        <v>10</v>
      </c>
      <c r="C1849" s="9" t="str">
        <f t="shared" si="38"/>
        <v>230114</v>
      </c>
      <c r="D1849" s="9" t="str">
        <f>"230901326"</f>
        <v>230901326</v>
      </c>
      <c r="E1849" s="10">
        <v>73.650000000000006</v>
      </c>
      <c r="F1849" s="10"/>
      <c r="G1849" s="10">
        <v>72.5</v>
      </c>
      <c r="H1849" s="10"/>
      <c r="I1849" s="10">
        <v>72.959999999999994</v>
      </c>
    </row>
    <row r="1850" spans="1:9" s="2" customFormat="1" ht="21.75" customHeight="1">
      <c r="A1850" s="8" t="s">
        <v>13</v>
      </c>
      <c r="B1850" s="8" t="s">
        <v>10</v>
      </c>
      <c r="C1850" s="9" t="str">
        <f t="shared" si="38"/>
        <v>230114</v>
      </c>
      <c r="D1850" s="9" t="str">
        <f>"230901315"</f>
        <v>230901315</v>
      </c>
      <c r="E1850" s="10">
        <v>67.569999999999993</v>
      </c>
      <c r="F1850" s="10"/>
      <c r="G1850" s="10">
        <v>76.5</v>
      </c>
      <c r="H1850" s="10"/>
      <c r="I1850" s="10">
        <v>72.930000000000007</v>
      </c>
    </row>
    <row r="1851" spans="1:9" s="2" customFormat="1" ht="21.75" customHeight="1">
      <c r="A1851" s="8" t="s">
        <v>13</v>
      </c>
      <c r="B1851" s="8" t="s">
        <v>10</v>
      </c>
      <c r="C1851" s="9" t="str">
        <f t="shared" si="38"/>
        <v>230114</v>
      </c>
      <c r="D1851" s="9" t="str">
        <f>"230900721"</f>
        <v>230900721</v>
      </c>
      <c r="E1851" s="10">
        <v>70.56</v>
      </c>
      <c r="F1851" s="10"/>
      <c r="G1851" s="10">
        <v>74.5</v>
      </c>
      <c r="H1851" s="10"/>
      <c r="I1851" s="10">
        <v>72.92</v>
      </c>
    </row>
    <row r="1852" spans="1:9" s="3" customFormat="1" ht="21.75" customHeight="1">
      <c r="A1852" s="8" t="s">
        <v>13</v>
      </c>
      <c r="B1852" s="8" t="s">
        <v>10</v>
      </c>
      <c r="C1852" s="9" t="str">
        <f t="shared" si="38"/>
        <v>230114</v>
      </c>
      <c r="D1852" s="9" t="str">
        <f>"230901101"</f>
        <v>230901101</v>
      </c>
      <c r="E1852" s="10">
        <v>76.540000000000006</v>
      </c>
      <c r="F1852" s="10"/>
      <c r="G1852" s="10">
        <v>70.5</v>
      </c>
      <c r="H1852" s="10"/>
      <c r="I1852" s="10">
        <v>72.92</v>
      </c>
    </row>
    <row r="1853" spans="1:9" s="3" customFormat="1" ht="21.75" customHeight="1">
      <c r="A1853" s="8" t="s">
        <v>13</v>
      </c>
      <c r="B1853" s="8" t="s">
        <v>10</v>
      </c>
      <c r="C1853" s="9" t="str">
        <f t="shared" si="38"/>
        <v>230114</v>
      </c>
      <c r="D1853" s="9" t="str">
        <f>"230901412"</f>
        <v>230901412</v>
      </c>
      <c r="E1853" s="10">
        <v>78.7</v>
      </c>
      <c r="F1853" s="10"/>
      <c r="G1853" s="10">
        <v>69</v>
      </c>
      <c r="H1853" s="10"/>
      <c r="I1853" s="10">
        <v>72.88</v>
      </c>
    </row>
    <row r="1854" spans="1:9" s="2" customFormat="1" ht="21.75" customHeight="1">
      <c r="A1854" s="8" t="s">
        <v>13</v>
      </c>
      <c r="B1854" s="8" t="s">
        <v>10</v>
      </c>
      <c r="C1854" s="9" t="str">
        <f t="shared" si="38"/>
        <v>230114</v>
      </c>
      <c r="D1854" s="9" t="str">
        <f>"230901007"</f>
        <v>230901007</v>
      </c>
      <c r="E1854" s="10">
        <v>71.81</v>
      </c>
      <c r="F1854" s="10"/>
      <c r="G1854" s="10">
        <v>73.5</v>
      </c>
      <c r="H1854" s="10"/>
      <c r="I1854" s="10">
        <v>72.819999999999993</v>
      </c>
    </row>
    <row r="1855" spans="1:9" s="2" customFormat="1" ht="21.75" customHeight="1">
      <c r="A1855" s="8" t="s">
        <v>13</v>
      </c>
      <c r="B1855" s="8" t="s">
        <v>10</v>
      </c>
      <c r="C1855" s="9" t="str">
        <f t="shared" si="38"/>
        <v>230114</v>
      </c>
      <c r="D1855" s="9" t="str">
        <f>"230900922"</f>
        <v>230900922</v>
      </c>
      <c r="E1855" s="10">
        <v>79.19</v>
      </c>
      <c r="F1855" s="10"/>
      <c r="G1855" s="10">
        <v>68.5</v>
      </c>
      <c r="H1855" s="10"/>
      <c r="I1855" s="10">
        <v>72.78</v>
      </c>
    </row>
    <row r="1856" spans="1:9" s="2" customFormat="1" ht="21.75" customHeight="1">
      <c r="A1856" s="8" t="s">
        <v>13</v>
      </c>
      <c r="B1856" s="8" t="s">
        <v>10</v>
      </c>
      <c r="C1856" s="9" t="str">
        <f t="shared" si="38"/>
        <v>230114</v>
      </c>
      <c r="D1856" s="9" t="str">
        <f>"230900625"</f>
        <v>230900625</v>
      </c>
      <c r="E1856" s="10">
        <v>74.58</v>
      </c>
      <c r="F1856" s="10"/>
      <c r="G1856" s="10">
        <v>71.5</v>
      </c>
      <c r="H1856" s="10"/>
      <c r="I1856" s="10">
        <v>72.73</v>
      </c>
    </row>
    <row r="1857" spans="1:9" s="2" customFormat="1" ht="21.75" customHeight="1">
      <c r="A1857" s="8" t="s">
        <v>13</v>
      </c>
      <c r="B1857" s="8" t="s">
        <v>10</v>
      </c>
      <c r="C1857" s="9" t="str">
        <f t="shared" si="38"/>
        <v>230114</v>
      </c>
      <c r="D1857" s="9" t="str">
        <f>"230900810"</f>
        <v>230900810</v>
      </c>
      <c r="E1857" s="10">
        <v>74.459999999999994</v>
      </c>
      <c r="F1857" s="10"/>
      <c r="G1857" s="10">
        <v>71.5</v>
      </c>
      <c r="H1857" s="10"/>
      <c r="I1857" s="10">
        <v>72.680000000000007</v>
      </c>
    </row>
    <row r="1858" spans="1:9" s="3" customFormat="1" ht="21.75" customHeight="1">
      <c r="A1858" s="8" t="s">
        <v>13</v>
      </c>
      <c r="B1858" s="8" t="s">
        <v>10</v>
      </c>
      <c r="C1858" s="9" t="str">
        <f t="shared" si="38"/>
        <v>230114</v>
      </c>
      <c r="D1858" s="9" t="str">
        <f>"230901014"</f>
        <v>230901014</v>
      </c>
      <c r="E1858" s="10">
        <v>75.14</v>
      </c>
      <c r="F1858" s="10"/>
      <c r="G1858" s="10">
        <v>71</v>
      </c>
      <c r="H1858" s="10"/>
      <c r="I1858" s="10">
        <v>72.66</v>
      </c>
    </row>
    <row r="1859" spans="1:9" s="2" customFormat="1" ht="21.75" customHeight="1">
      <c r="A1859" s="8" t="s">
        <v>13</v>
      </c>
      <c r="B1859" s="8" t="s">
        <v>10</v>
      </c>
      <c r="C1859" s="9" t="str">
        <f t="shared" si="38"/>
        <v>230114</v>
      </c>
      <c r="D1859" s="9" t="str">
        <f>"230901312"</f>
        <v>230901312</v>
      </c>
      <c r="E1859" s="10">
        <v>76.64</v>
      </c>
      <c r="F1859" s="10"/>
      <c r="G1859" s="10">
        <v>70</v>
      </c>
      <c r="H1859" s="10"/>
      <c r="I1859" s="10">
        <v>72.66</v>
      </c>
    </row>
    <row r="1860" spans="1:9" s="2" customFormat="1" ht="21.75" customHeight="1">
      <c r="A1860" s="8" t="s">
        <v>13</v>
      </c>
      <c r="B1860" s="8" t="s">
        <v>10</v>
      </c>
      <c r="C1860" s="9" t="str">
        <f t="shared" si="38"/>
        <v>230114</v>
      </c>
      <c r="D1860" s="9" t="str">
        <f>"230900916"</f>
        <v>230900916</v>
      </c>
      <c r="E1860" s="10">
        <v>74.36</v>
      </c>
      <c r="F1860" s="10"/>
      <c r="G1860" s="10">
        <v>71.5</v>
      </c>
      <c r="H1860" s="10"/>
      <c r="I1860" s="10">
        <v>72.64</v>
      </c>
    </row>
    <row r="1861" spans="1:9" s="2" customFormat="1" ht="21.75" customHeight="1">
      <c r="A1861" s="8" t="s">
        <v>13</v>
      </c>
      <c r="B1861" s="8" t="s">
        <v>10</v>
      </c>
      <c r="C1861" s="9" t="str">
        <f t="shared" si="38"/>
        <v>230114</v>
      </c>
      <c r="D1861" s="9" t="str">
        <f>"230901030"</f>
        <v>230901030</v>
      </c>
      <c r="E1861" s="10">
        <v>75.84</v>
      </c>
      <c r="F1861" s="10"/>
      <c r="G1861" s="10">
        <v>70.5</v>
      </c>
      <c r="H1861" s="10"/>
      <c r="I1861" s="10">
        <v>72.64</v>
      </c>
    </row>
    <row r="1862" spans="1:9" s="2" customFormat="1" ht="21.75" customHeight="1">
      <c r="A1862" s="8" t="s">
        <v>13</v>
      </c>
      <c r="B1862" s="8" t="s">
        <v>10</v>
      </c>
      <c r="C1862" s="9" t="str">
        <f t="shared" si="38"/>
        <v>230114</v>
      </c>
      <c r="D1862" s="9" t="str">
        <f>"230901615"</f>
        <v>230901615</v>
      </c>
      <c r="E1862" s="10">
        <v>72.63</v>
      </c>
      <c r="F1862" s="10"/>
      <c r="G1862" s="10">
        <v>72.5</v>
      </c>
      <c r="H1862" s="10"/>
      <c r="I1862" s="10">
        <v>72.55</v>
      </c>
    </row>
    <row r="1863" spans="1:9" s="2" customFormat="1" ht="21.75" customHeight="1">
      <c r="A1863" s="8" t="s">
        <v>13</v>
      </c>
      <c r="B1863" s="8" t="s">
        <v>10</v>
      </c>
      <c r="C1863" s="9" t="str">
        <f t="shared" si="38"/>
        <v>230114</v>
      </c>
      <c r="D1863" s="9" t="str">
        <f>"230900711"</f>
        <v>230900711</v>
      </c>
      <c r="E1863" s="10">
        <v>68.02</v>
      </c>
      <c r="F1863" s="10"/>
      <c r="G1863" s="10">
        <v>75.5</v>
      </c>
      <c r="H1863" s="10"/>
      <c r="I1863" s="10">
        <v>72.510000000000005</v>
      </c>
    </row>
    <row r="1864" spans="1:9" s="2" customFormat="1" ht="21.75" customHeight="1">
      <c r="A1864" s="8" t="s">
        <v>13</v>
      </c>
      <c r="B1864" s="8" t="s">
        <v>10</v>
      </c>
      <c r="C1864" s="9" t="str">
        <f t="shared" si="38"/>
        <v>230114</v>
      </c>
      <c r="D1864" s="9" t="str">
        <f>"230900903"</f>
        <v>230900903</v>
      </c>
      <c r="E1864" s="10">
        <v>67.209999999999994</v>
      </c>
      <c r="F1864" s="10"/>
      <c r="G1864" s="10">
        <v>76</v>
      </c>
      <c r="H1864" s="10"/>
      <c r="I1864" s="10">
        <v>72.48</v>
      </c>
    </row>
    <row r="1865" spans="1:9" s="3" customFormat="1" ht="21.75" customHeight="1">
      <c r="A1865" s="8" t="s">
        <v>13</v>
      </c>
      <c r="B1865" s="8" t="s">
        <v>10</v>
      </c>
      <c r="C1865" s="9" t="str">
        <f t="shared" si="38"/>
        <v>230114</v>
      </c>
      <c r="D1865" s="9" t="str">
        <f>"230900805"</f>
        <v>230900805</v>
      </c>
      <c r="E1865" s="10">
        <v>74.569999999999993</v>
      </c>
      <c r="F1865" s="10"/>
      <c r="G1865" s="10">
        <v>71</v>
      </c>
      <c r="H1865" s="10"/>
      <c r="I1865" s="10">
        <v>72.430000000000007</v>
      </c>
    </row>
    <row r="1866" spans="1:9" s="3" customFormat="1" ht="21.75" customHeight="1">
      <c r="A1866" s="8" t="s">
        <v>13</v>
      </c>
      <c r="B1866" s="8" t="s">
        <v>10</v>
      </c>
      <c r="C1866" s="9" t="str">
        <f t="shared" si="38"/>
        <v>230114</v>
      </c>
      <c r="D1866" s="9" t="str">
        <f>"230901430"</f>
        <v>230901430</v>
      </c>
      <c r="E1866" s="10">
        <v>62.39</v>
      </c>
      <c r="F1866" s="10"/>
      <c r="G1866" s="10">
        <v>79</v>
      </c>
      <c r="H1866" s="10"/>
      <c r="I1866" s="10">
        <v>72.36</v>
      </c>
    </row>
    <row r="1867" spans="1:9" s="2" customFormat="1" ht="21.75" customHeight="1">
      <c r="A1867" s="8" t="s">
        <v>13</v>
      </c>
      <c r="B1867" s="8" t="s">
        <v>10</v>
      </c>
      <c r="C1867" s="9" t="str">
        <f t="shared" si="38"/>
        <v>230114</v>
      </c>
      <c r="D1867" s="9" t="str">
        <f>"230901503"</f>
        <v>230901503</v>
      </c>
      <c r="E1867" s="10">
        <v>69.849999999999994</v>
      </c>
      <c r="F1867" s="10"/>
      <c r="G1867" s="10">
        <v>74</v>
      </c>
      <c r="H1867" s="10"/>
      <c r="I1867" s="10">
        <v>72.34</v>
      </c>
    </row>
    <row r="1868" spans="1:9" s="2" customFormat="1" ht="21.75" customHeight="1">
      <c r="A1868" s="8" t="s">
        <v>13</v>
      </c>
      <c r="B1868" s="8" t="s">
        <v>10</v>
      </c>
      <c r="C1868" s="9" t="str">
        <f t="shared" si="38"/>
        <v>230114</v>
      </c>
      <c r="D1868" s="9" t="str">
        <f>"230900801"</f>
        <v>230900801</v>
      </c>
      <c r="E1868" s="10">
        <v>74.930000000000007</v>
      </c>
      <c r="F1868" s="10"/>
      <c r="G1868" s="10">
        <v>70.5</v>
      </c>
      <c r="H1868" s="10"/>
      <c r="I1868" s="10">
        <v>72.27</v>
      </c>
    </row>
    <row r="1869" spans="1:9" s="2" customFormat="1" ht="21.75" customHeight="1">
      <c r="A1869" s="8" t="s">
        <v>13</v>
      </c>
      <c r="B1869" s="8" t="s">
        <v>10</v>
      </c>
      <c r="C1869" s="9" t="str">
        <f t="shared" si="38"/>
        <v>230114</v>
      </c>
      <c r="D1869" s="9" t="str">
        <f>"230901127"</f>
        <v>230901127</v>
      </c>
      <c r="E1869" s="10">
        <v>71.12</v>
      </c>
      <c r="F1869" s="10"/>
      <c r="G1869" s="10">
        <v>73</v>
      </c>
      <c r="H1869" s="10"/>
      <c r="I1869" s="10">
        <v>72.25</v>
      </c>
    </row>
    <row r="1870" spans="1:9" s="2" customFormat="1" ht="21.75" customHeight="1">
      <c r="A1870" s="8" t="s">
        <v>13</v>
      </c>
      <c r="B1870" s="8" t="s">
        <v>10</v>
      </c>
      <c r="C1870" s="9" t="str">
        <f t="shared" si="38"/>
        <v>230114</v>
      </c>
      <c r="D1870" s="9" t="str">
        <f>"230900822"</f>
        <v>230900822</v>
      </c>
      <c r="E1870" s="10">
        <v>76.33</v>
      </c>
      <c r="F1870" s="10"/>
      <c r="G1870" s="10">
        <v>69.5</v>
      </c>
      <c r="H1870" s="10"/>
      <c r="I1870" s="10">
        <v>72.23</v>
      </c>
    </row>
    <row r="1871" spans="1:9" s="3" customFormat="1" ht="21.75" customHeight="1">
      <c r="A1871" s="8" t="s">
        <v>13</v>
      </c>
      <c r="B1871" s="8" t="s">
        <v>10</v>
      </c>
      <c r="C1871" s="9" t="str">
        <f t="shared" si="38"/>
        <v>230114</v>
      </c>
      <c r="D1871" s="9" t="str">
        <f>"230901522"</f>
        <v>230901522</v>
      </c>
      <c r="E1871" s="10">
        <v>75.510000000000005</v>
      </c>
      <c r="F1871" s="10"/>
      <c r="G1871" s="10">
        <v>70</v>
      </c>
      <c r="H1871" s="10"/>
      <c r="I1871" s="10">
        <v>72.2</v>
      </c>
    </row>
    <row r="1872" spans="1:9" s="2" customFormat="1" ht="21.75" customHeight="1">
      <c r="A1872" s="8" t="s">
        <v>13</v>
      </c>
      <c r="B1872" s="8" t="s">
        <v>10</v>
      </c>
      <c r="C1872" s="9" t="str">
        <f t="shared" si="38"/>
        <v>230114</v>
      </c>
      <c r="D1872" s="9" t="str">
        <f>"230900529"</f>
        <v>230900529</v>
      </c>
      <c r="E1872" s="10">
        <v>68.59</v>
      </c>
      <c r="F1872" s="10"/>
      <c r="G1872" s="10">
        <v>74.5</v>
      </c>
      <c r="H1872" s="10"/>
      <c r="I1872" s="10">
        <v>72.14</v>
      </c>
    </row>
    <row r="1873" spans="1:9" s="3" customFormat="1" ht="21.75" customHeight="1">
      <c r="A1873" s="8" t="s">
        <v>13</v>
      </c>
      <c r="B1873" s="8" t="s">
        <v>10</v>
      </c>
      <c r="C1873" s="9" t="str">
        <f t="shared" si="38"/>
        <v>230114</v>
      </c>
      <c r="D1873" s="9" t="str">
        <f>"230901110"</f>
        <v>230901110</v>
      </c>
      <c r="E1873" s="10">
        <v>76.78</v>
      </c>
      <c r="F1873" s="10"/>
      <c r="G1873" s="10">
        <v>69</v>
      </c>
      <c r="H1873" s="10"/>
      <c r="I1873" s="10">
        <v>72.11</v>
      </c>
    </row>
    <row r="1874" spans="1:9" s="2" customFormat="1" ht="21.75" customHeight="1">
      <c r="A1874" s="8" t="s">
        <v>13</v>
      </c>
      <c r="B1874" s="8" t="s">
        <v>10</v>
      </c>
      <c r="C1874" s="9" t="str">
        <f t="shared" si="38"/>
        <v>230114</v>
      </c>
      <c r="D1874" s="9" t="str">
        <f>"230900610"</f>
        <v>230900610</v>
      </c>
      <c r="E1874" s="10">
        <v>77.34</v>
      </c>
      <c r="F1874" s="10"/>
      <c r="G1874" s="10">
        <v>68.5</v>
      </c>
      <c r="H1874" s="10"/>
      <c r="I1874" s="10">
        <v>72.040000000000006</v>
      </c>
    </row>
    <row r="1875" spans="1:9" s="2" customFormat="1" ht="21.75" customHeight="1">
      <c r="A1875" s="8" t="s">
        <v>13</v>
      </c>
      <c r="B1875" s="8" t="s">
        <v>10</v>
      </c>
      <c r="C1875" s="9" t="str">
        <f t="shared" si="38"/>
        <v>230114</v>
      </c>
      <c r="D1875" s="9" t="str">
        <f>"230900725"</f>
        <v>230900725</v>
      </c>
      <c r="E1875" s="10">
        <v>65.25</v>
      </c>
      <c r="F1875" s="10"/>
      <c r="G1875" s="10">
        <v>76.5</v>
      </c>
      <c r="H1875" s="10"/>
      <c r="I1875" s="10">
        <v>72</v>
      </c>
    </row>
    <row r="1876" spans="1:9" s="3" customFormat="1" ht="21.75" customHeight="1">
      <c r="A1876" s="8" t="s">
        <v>13</v>
      </c>
      <c r="B1876" s="8" t="s">
        <v>10</v>
      </c>
      <c r="C1876" s="9" t="str">
        <f t="shared" si="38"/>
        <v>230114</v>
      </c>
      <c r="D1876" s="9" t="str">
        <f>"230901216"</f>
        <v>230901216</v>
      </c>
      <c r="E1876" s="10">
        <v>73.3</v>
      </c>
      <c r="F1876" s="10"/>
      <c r="G1876" s="10">
        <v>71</v>
      </c>
      <c r="H1876" s="10"/>
      <c r="I1876" s="10">
        <v>71.92</v>
      </c>
    </row>
    <row r="1877" spans="1:9" s="3" customFormat="1" ht="21.75" customHeight="1">
      <c r="A1877" s="8" t="s">
        <v>13</v>
      </c>
      <c r="B1877" s="8" t="s">
        <v>10</v>
      </c>
      <c r="C1877" s="9" t="str">
        <f t="shared" si="38"/>
        <v>230114</v>
      </c>
      <c r="D1877" s="9" t="str">
        <f>"230900925"</f>
        <v>230900925</v>
      </c>
      <c r="E1877" s="10">
        <v>74.7</v>
      </c>
      <c r="F1877" s="10"/>
      <c r="G1877" s="10">
        <v>70</v>
      </c>
      <c r="H1877" s="10"/>
      <c r="I1877" s="10">
        <v>71.88</v>
      </c>
    </row>
    <row r="1878" spans="1:9" s="2" customFormat="1" ht="21.75" customHeight="1">
      <c r="A1878" s="8" t="s">
        <v>13</v>
      </c>
      <c r="B1878" s="8" t="s">
        <v>10</v>
      </c>
      <c r="C1878" s="9" t="str">
        <f t="shared" si="38"/>
        <v>230114</v>
      </c>
      <c r="D1878" s="9" t="str">
        <f>"230901514"</f>
        <v>230901514</v>
      </c>
      <c r="E1878" s="10">
        <v>73.88</v>
      </c>
      <c r="F1878" s="10"/>
      <c r="G1878" s="10">
        <v>70.5</v>
      </c>
      <c r="H1878" s="10"/>
      <c r="I1878" s="10">
        <v>71.849999999999994</v>
      </c>
    </row>
    <row r="1879" spans="1:9" s="3" customFormat="1" ht="21.75" customHeight="1">
      <c r="A1879" s="8" t="s">
        <v>13</v>
      </c>
      <c r="B1879" s="8" t="s">
        <v>10</v>
      </c>
      <c r="C1879" s="9" t="str">
        <f t="shared" si="38"/>
        <v>230114</v>
      </c>
      <c r="D1879" s="9" t="str">
        <f>"230901411"</f>
        <v>230901411</v>
      </c>
      <c r="E1879" s="10">
        <v>72.959999999999994</v>
      </c>
      <c r="F1879" s="10"/>
      <c r="G1879" s="10">
        <v>71</v>
      </c>
      <c r="H1879" s="10"/>
      <c r="I1879" s="10">
        <v>71.78</v>
      </c>
    </row>
    <row r="1880" spans="1:9" s="3" customFormat="1" ht="21.75" customHeight="1">
      <c r="A1880" s="8" t="s">
        <v>13</v>
      </c>
      <c r="B1880" s="8" t="s">
        <v>10</v>
      </c>
      <c r="C1880" s="9" t="str">
        <f t="shared" si="38"/>
        <v>230114</v>
      </c>
      <c r="D1880" s="9" t="str">
        <f>"230901128"</f>
        <v>230901128</v>
      </c>
      <c r="E1880" s="10">
        <v>70.66</v>
      </c>
      <c r="F1880" s="10"/>
      <c r="G1880" s="10">
        <v>72.5</v>
      </c>
      <c r="H1880" s="10"/>
      <c r="I1880" s="10">
        <v>71.760000000000005</v>
      </c>
    </row>
    <row r="1881" spans="1:9" s="3" customFormat="1" ht="21.75" customHeight="1">
      <c r="A1881" s="8" t="s">
        <v>13</v>
      </c>
      <c r="B1881" s="8" t="s">
        <v>10</v>
      </c>
      <c r="C1881" s="9" t="str">
        <f t="shared" si="38"/>
        <v>230114</v>
      </c>
      <c r="D1881" s="9" t="str">
        <f>"230901427"</f>
        <v>230901427</v>
      </c>
      <c r="E1881" s="10">
        <v>69.05</v>
      </c>
      <c r="F1881" s="10"/>
      <c r="G1881" s="10">
        <v>73.5</v>
      </c>
      <c r="H1881" s="10"/>
      <c r="I1881" s="10">
        <v>71.72</v>
      </c>
    </row>
    <row r="1882" spans="1:9" s="3" customFormat="1" ht="21.75" customHeight="1">
      <c r="A1882" s="8" t="s">
        <v>13</v>
      </c>
      <c r="B1882" s="8" t="s">
        <v>10</v>
      </c>
      <c r="C1882" s="9" t="str">
        <f t="shared" si="38"/>
        <v>230114</v>
      </c>
      <c r="D1882" s="9" t="str">
        <f>"230901505"</f>
        <v>230901505</v>
      </c>
      <c r="E1882" s="10">
        <v>70.56</v>
      </c>
      <c r="F1882" s="10"/>
      <c r="G1882" s="10">
        <v>72.5</v>
      </c>
      <c r="H1882" s="10"/>
      <c r="I1882" s="10">
        <v>71.72</v>
      </c>
    </row>
    <row r="1883" spans="1:9" s="3" customFormat="1" ht="21.75" customHeight="1">
      <c r="A1883" s="8" t="s">
        <v>13</v>
      </c>
      <c r="B1883" s="8" t="s">
        <v>10</v>
      </c>
      <c r="C1883" s="9" t="str">
        <f t="shared" si="38"/>
        <v>230114</v>
      </c>
      <c r="D1883" s="9" t="str">
        <f>"230900918"</f>
        <v>230900918</v>
      </c>
      <c r="E1883" s="10">
        <v>66.64</v>
      </c>
      <c r="F1883" s="10"/>
      <c r="G1883" s="10">
        <v>75</v>
      </c>
      <c r="H1883" s="10"/>
      <c r="I1883" s="10">
        <v>71.66</v>
      </c>
    </row>
    <row r="1884" spans="1:9" s="2" customFormat="1" ht="21.75" customHeight="1">
      <c r="A1884" s="8" t="s">
        <v>13</v>
      </c>
      <c r="B1884" s="8" t="s">
        <v>10</v>
      </c>
      <c r="C1884" s="9" t="str">
        <f t="shared" si="38"/>
        <v>230114</v>
      </c>
      <c r="D1884" s="9" t="str">
        <f>"230901602"</f>
        <v>230901602</v>
      </c>
      <c r="E1884" s="10">
        <v>68.13</v>
      </c>
      <c r="F1884" s="10"/>
      <c r="G1884" s="10">
        <v>74</v>
      </c>
      <c r="H1884" s="10"/>
      <c r="I1884" s="10">
        <v>71.650000000000006</v>
      </c>
    </row>
    <row r="1885" spans="1:9" s="3" customFormat="1" ht="21.75" customHeight="1">
      <c r="A1885" s="8" t="s">
        <v>13</v>
      </c>
      <c r="B1885" s="8" t="s">
        <v>10</v>
      </c>
      <c r="C1885" s="9" t="str">
        <f t="shared" si="38"/>
        <v>230114</v>
      </c>
      <c r="D1885" s="9" t="str">
        <f>"230900815"</f>
        <v>230900815</v>
      </c>
      <c r="E1885" s="10">
        <v>72.5</v>
      </c>
      <c r="F1885" s="10"/>
      <c r="G1885" s="10">
        <v>71</v>
      </c>
      <c r="H1885" s="10"/>
      <c r="I1885" s="10">
        <v>71.599999999999994</v>
      </c>
    </row>
    <row r="1886" spans="1:9" s="2" customFormat="1" ht="21.75" customHeight="1">
      <c r="A1886" s="8" t="s">
        <v>13</v>
      </c>
      <c r="B1886" s="8" t="s">
        <v>10</v>
      </c>
      <c r="C1886" s="9" t="str">
        <f t="shared" si="38"/>
        <v>230114</v>
      </c>
      <c r="D1886" s="9" t="str">
        <f>"230900622"</f>
        <v>230900622</v>
      </c>
      <c r="E1886" s="10">
        <v>67.22</v>
      </c>
      <c r="F1886" s="10"/>
      <c r="G1886" s="10">
        <v>74.5</v>
      </c>
      <c r="H1886" s="10"/>
      <c r="I1886" s="10">
        <v>71.59</v>
      </c>
    </row>
    <row r="1887" spans="1:9" s="2" customFormat="1" ht="21.75" customHeight="1">
      <c r="A1887" s="8" t="s">
        <v>13</v>
      </c>
      <c r="B1887" s="8" t="s">
        <v>10</v>
      </c>
      <c r="C1887" s="9" t="str">
        <f t="shared" si="38"/>
        <v>230114</v>
      </c>
      <c r="D1887" s="9" t="str">
        <f>"230901229"</f>
        <v>230901229</v>
      </c>
      <c r="E1887" s="10">
        <v>67.209999999999994</v>
      </c>
      <c r="F1887" s="10"/>
      <c r="G1887" s="10">
        <v>74.5</v>
      </c>
      <c r="H1887" s="10"/>
      <c r="I1887" s="10">
        <v>71.58</v>
      </c>
    </row>
    <row r="1888" spans="1:9" s="3" customFormat="1" ht="21.75" customHeight="1">
      <c r="A1888" s="8" t="s">
        <v>13</v>
      </c>
      <c r="B1888" s="8" t="s">
        <v>10</v>
      </c>
      <c r="C1888" s="9" t="str">
        <f t="shared" si="38"/>
        <v>230114</v>
      </c>
      <c r="D1888" s="9" t="str">
        <f>"230900928"</f>
        <v>230900928</v>
      </c>
      <c r="E1888" s="10">
        <v>69.400000000000006</v>
      </c>
      <c r="F1888" s="10"/>
      <c r="G1888" s="10">
        <v>73</v>
      </c>
      <c r="H1888" s="10"/>
      <c r="I1888" s="10">
        <v>71.56</v>
      </c>
    </row>
    <row r="1889" spans="1:9" s="2" customFormat="1" ht="21.75" customHeight="1">
      <c r="A1889" s="8" t="s">
        <v>13</v>
      </c>
      <c r="B1889" s="8" t="s">
        <v>10</v>
      </c>
      <c r="C1889" s="9" t="str">
        <f t="shared" si="38"/>
        <v>230114</v>
      </c>
      <c r="D1889" s="9" t="str">
        <f>"230901504"</f>
        <v>230901504</v>
      </c>
      <c r="E1889" s="10">
        <v>77.55</v>
      </c>
      <c r="F1889" s="10"/>
      <c r="G1889" s="10">
        <v>67.5</v>
      </c>
      <c r="H1889" s="10"/>
      <c r="I1889" s="10">
        <v>71.52</v>
      </c>
    </row>
    <row r="1890" spans="1:9" s="2" customFormat="1" ht="21.75" customHeight="1">
      <c r="A1890" s="8" t="s">
        <v>13</v>
      </c>
      <c r="B1890" s="8" t="s">
        <v>10</v>
      </c>
      <c r="C1890" s="9" t="str">
        <f t="shared" si="38"/>
        <v>230114</v>
      </c>
      <c r="D1890" s="9" t="str">
        <f>"230900527"</f>
        <v>230900527</v>
      </c>
      <c r="E1890" s="10">
        <v>70.67</v>
      </c>
      <c r="F1890" s="10"/>
      <c r="G1890" s="10">
        <v>72</v>
      </c>
      <c r="H1890" s="10"/>
      <c r="I1890" s="10">
        <v>71.47</v>
      </c>
    </row>
    <row r="1891" spans="1:9" s="3" customFormat="1" ht="21.75" customHeight="1">
      <c r="A1891" s="8" t="s">
        <v>13</v>
      </c>
      <c r="B1891" s="8" t="s">
        <v>10</v>
      </c>
      <c r="C1891" s="9" t="str">
        <f t="shared" si="38"/>
        <v>230114</v>
      </c>
      <c r="D1891" s="9" t="str">
        <f>"230900827"</f>
        <v>230900827</v>
      </c>
      <c r="E1891" s="10">
        <v>69.17</v>
      </c>
      <c r="F1891" s="10"/>
      <c r="G1891" s="10">
        <v>73</v>
      </c>
      <c r="H1891" s="10"/>
      <c r="I1891" s="10">
        <v>71.47</v>
      </c>
    </row>
    <row r="1892" spans="1:9" s="3" customFormat="1" ht="21.75" customHeight="1">
      <c r="A1892" s="8" t="s">
        <v>13</v>
      </c>
      <c r="B1892" s="8" t="s">
        <v>10</v>
      </c>
      <c r="C1892" s="9" t="str">
        <f t="shared" si="38"/>
        <v>230114</v>
      </c>
      <c r="D1892" s="9" t="str">
        <f>"230901413"</f>
        <v>230901413</v>
      </c>
      <c r="E1892" s="10">
        <v>59.29</v>
      </c>
      <c r="F1892" s="10"/>
      <c r="G1892" s="10">
        <v>79.5</v>
      </c>
      <c r="H1892" s="10"/>
      <c r="I1892" s="10">
        <v>71.42</v>
      </c>
    </row>
    <row r="1893" spans="1:9" s="3" customFormat="1" ht="21.75" customHeight="1">
      <c r="A1893" s="8" t="s">
        <v>13</v>
      </c>
      <c r="B1893" s="8" t="s">
        <v>10</v>
      </c>
      <c r="C1893" s="9" t="str">
        <f t="shared" si="38"/>
        <v>230114</v>
      </c>
      <c r="D1893" s="9" t="str">
        <f>"230901703"</f>
        <v>230901703</v>
      </c>
      <c r="E1893" s="10">
        <v>70.55</v>
      </c>
      <c r="F1893" s="10"/>
      <c r="G1893" s="10">
        <v>72</v>
      </c>
      <c r="H1893" s="10"/>
      <c r="I1893" s="10">
        <v>71.42</v>
      </c>
    </row>
    <row r="1894" spans="1:9" s="2" customFormat="1" ht="21.75" customHeight="1">
      <c r="A1894" s="8" t="s">
        <v>13</v>
      </c>
      <c r="B1894" s="8" t="s">
        <v>10</v>
      </c>
      <c r="C1894" s="9" t="str">
        <f t="shared" si="38"/>
        <v>230114</v>
      </c>
      <c r="D1894" s="9" t="str">
        <f>"230901404"</f>
        <v>230901404</v>
      </c>
      <c r="E1894" s="10">
        <v>68.25</v>
      </c>
      <c r="F1894" s="10"/>
      <c r="G1894" s="10">
        <v>73.5</v>
      </c>
      <c r="H1894" s="10"/>
      <c r="I1894" s="10">
        <v>71.400000000000006</v>
      </c>
    </row>
    <row r="1895" spans="1:9" s="2" customFormat="1" ht="21.75" customHeight="1">
      <c r="A1895" s="8" t="s">
        <v>13</v>
      </c>
      <c r="B1895" s="8" t="s">
        <v>10</v>
      </c>
      <c r="C1895" s="9" t="str">
        <f t="shared" si="38"/>
        <v>230114</v>
      </c>
      <c r="D1895" s="9" t="str">
        <f>"230900909"</f>
        <v>230900909</v>
      </c>
      <c r="E1895" s="10">
        <v>72.73</v>
      </c>
      <c r="F1895" s="10"/>
      <c r="G1895" s="10">
        <v>70.5</v>
      </c>
      <c r="H1895" s="10"/>
      <c r="I1895" s="10">
        <v>71.39</v>
      </c>
    </row>
    <row r="1896" spans="1:9" s="2" customFormat="1" ht="21.75" customHeight="1">
      <c r="A1896" s="8" t="s">
        <v>13</v>
      </c>
      <c r="B1896" s="8" t="s">
        <v>10</v>
      </c>
      <c r="C1896" s="9" t="str">
        <f t="shared" si="38"/>
        <v>230114</v>
      </c>
      <c r="D1896" s="9" t="str">
        <f>"230900911"</f>
        <v>230900911</v>
      </c>
      <c r="E1896" s="10">
        <v>68.97</v>
      </c>
      <c r="F1896" s="10"/>
      <c r="G1896" s="10">
        <v>73</v>
      </c>
      <c r="H1896" s="10"/>
      <c r="I1896" s="10">
        <v>71.39</v>
      </c>
    </row>
    <row r="1897" spans="1:9" s="3" customFormat="1" ht="21.75" customHeight="1">
      <c r="A1897" s="8" t="s">
        <v>13</v>
      </c>
      <c r="B1897" s="8" t="s">
        <v>10</v>
      </c>
      <c r="C1897" s="9" t="str">
        <f t="shared" si="38"/>
        <v>230114</v>
      </c>
      <c r="D1897" s="9" t="str">
        <f>"230901204"</f>
        <v>230901204</v>
      </c>
      <c r="E1897" s="10">
        <v>74</v>
      </c>
      <c r="F1897" s="10"/>
      <c r="G1897" s="10">
        <v>69.5</v>
      </c>
      <c r="H1897" s="10"/>
      <c r="I1897" s="10">
        <v>71.3</v>
      </c>
    </row>
    <row r="1898" spans="1:9" s="2" customFormat="1" ht="21.75" customHeight="1">
      <c r="A1898" s="8" t="s">
        <v>13</v>
      </c>
      <c r="B1898" s="8" t="s">
        <v>10</v>
      </c>
      <c r="C1898" s="9" t="str">
        <f t="shared" si="38"/>
        <v>230114</v>
      </c>
      <c r="D1898" s="9" t="str">
        <f>"230900727"</f>
        <v>230900727</v>
      </c>
      <c r="E1898" s="10">
        <v>76.19</v>
      </c>
      <c r="F1898" s="10"/>
      <c r="G1898" s="10">
        <v>68</v>
      </c>
      <c r="H1898" s="10"/>
      <c r="I1898" s="10">
        <v>71.28</v>
      </c>
    </row>
    <row r="1899" spans="1:9" s="2" customFormat="1" ht="21.75" customHeight="1">
      <c r="A1899" s="8" t="s">
        <v>13</v>
      </c>
      <c r="B1899" s="8" t="s">
        <v>10</v>
      </c>
      <c r="C1899" s="9" t="str">
        <f t="shared" ref="C1899:C1962" si="39">"230114"</f>
        <v>230114</v>
      </c>
      <c r="D1899" s="9" t="str">
        <f>"230901117"</f>
        <v>230901117</v>
      </c>
      <c r="E1899" s="10">
        <v>68.7</v>
      </c>
      <c r="F1899" s="10"/>
      <c r="G1899" s="10">
        <v>73</v>
      </c>
      <c r="H1899" s="10"/>
      <c r="I1899" s="10">
        <v>71.28</v>
      </c>
    </row>
    <row r="1900" spans="1:9" s="2" customFormat="1" ht="21.75" customHeight="1">
      <c r="A1900" s="8" t="s">
        <v>13</v>
      </c>
      <c r="B1900" s="8" t="s">
        <v>10</v>
      </c>
      <c r="C1900" s="9" t="str">
        <f t="shared" si="39"/>
        <v>230114</v>
      </c>
      <c r="D1900" s="9" t="str">
        <f>"230901105"</f>
        <v>230901105</v>
      </c>
      <c r="E1900" s="10">
        <v>64.8</v>
      </c>
      <c r="F1900" s="10"/>
      <c r="G1900" s="10">
        <v>75.5</v>
      </c>
      <c r="H1900" s="10"/>
      <c r="I1900" s="10">
        <v>71.22</v>
      </c>
    </row>
    <row r="1901" spans="1:9" s="3" customFormat="1" ht="21.75" customHeight="1">
      <c r="A1901" s="8" t="s">
        <v>13</v>
      </c>
      <c r="B1901" s="8" t="s">
        <v>10</v>
      </c>
      <c r="C1901" s="9" t="str">
        <f t="shared" si="39"/>
        <v>230114</v>
      </c>
      <c r="D1901" s="9" t="str">
        <f>"230901028"</f>
        <v>230901028</v>
      </c>
      <c r="E1901" s="10">
        <v>75.150000000000006</v>
      </c>
      <c r="F1901" s="10"/>
      <c r="G1901" s="10">
        <v>68.5</v>
      </c>
      <c r="H1901" s="10"/>
      <c r="I1901" s="10">
        <v>71.16</v>
      </c>
    </row>
    <row r="1902" spans="1:9" s="3" customFormat="1" ht="21.75" customHeight="1">
      <c r="A1902" s="8" t="s">
        <v>13</v>
      </c>
      <c r="B1902" s="8" t="s">
        <v>10</v>
      </c>
      <c r="C1902" s="9" t="str">
        <f t="shared" si="39"/>
        <v>230114</v>
      </c>
      <c r="D1902" s="9" t="str">
        <f>"230901524"</f>
        <v>230901524</v>
      </c>
      <c r="E1902" s="10">
        <v>64.569999999999993</v>
      </c>
      <c r="F1902" s="10"/>
      <c r="G1902" s="10">
        <v>75.5</v>
      </c>
      <c r="H1902" s="10"/>
      <c r="I1902" s="10">
        <v>71.13</v>
      </c>
    </row>
    <row r="1903" spans="1:9" s="3" customFormat="1" ht="21.75" customHeight="1">
      <c r="A1903" s="8" t="s">
        <v>13</v>
      </c>
      <c r="B1903" s="8" t="s">
        <v>10</v>
      </c>
      <c r="C1903" s="9" t="str">
        <f t="shared" si="39"/>
        <v>230114</v>
      </c>
      <c r="D1903" s="9" t="str">
        <f>"230900601"</f>
        <v>230900601</v>
      </c>
      <c r="E1903" s="10">
        <v>71.25</v>
      </c>
      <c r="F1903" s="10"/>
      <c r="G1903" s="10">
        <v>71</v>
      </c>
      <c r="H1903" s="10"/>
      <c r="I1903" s="10">
        <v>71.099999999999994</v>
      </c>
    </row>
    <row r="1904" spans="1:9" s="2" customFormat="1" ht="21.75" customHeight="1">
      <c r="A1904" s="8" t="s">
        <v>13</v>
      </c>
      <c r="B1904" s="8" t="s">
        <v>10</v>
      </c>
      <c r="C1904" s="9" t="str">
        <f t="shared" si="39"/>
        <v>230114</v>
      </c>
      <c r="D1904" s="9" t="str">
        <f>"230900604"</f>
        <v>230900604</v>
      </c>
      <c r="E1904" s="10">
        <v>67.34</v>
      </c>
      <c r="F1904" s="10"/>
      <c r="G1904" s="10">
        <v>73.5</v>
      </c>
      <c r="H1904" s="10"/>
      <c r="I1904" s="10">
        <v>71.040000000000006</v>
      </c>
    </row>
    <row r="1905" spans="1:9" s="3" customFormat="1" ht="21.75" customHeight="1">
      <c r="A1905" s="8" t="s">
        <v>13</v>
      </c>
      <c r="B1905" s="8" t="s">
        <v>10</v>
      </c>
      <c r="C1905" s="9" t="str">
        <f t="shared" si="39"/>
        <v>230114</v>
      </c>
      <c r="D1905" s="9" t="str">
        <f>"230901402"</f>
        <v>230901402</v>
      </c>
      <c r="E1905" s="10">
        <v>67.900000000000006</v>
      </c>
      <c r="F1905" s="10"/>
      <c r="G1905" s="10">
        <v>73</v>
      </c>
      <c r="H1905" s="10"/>
      <c r="I1905" s="10">
        <v>70.959999999999994</v>
      </c>
    </row>
    <row r="1906" spans="1:9" s="3" customFormat="1" ht="21.75" customHeight="1">
      <c r="A1906" s="8" t="s">
        <v>13</v>
      </c>
      <c r="B1906" s="8" t="s">
        <v>10</v>
      </c>
      <c r="C1906" s="9" t="str">
        <f t="shared" si="39"/>
        <v>230114</v>
      </c>
      <c r="D1906" s="9" t="str">
        <f>"230901422"</f>
        <v>230901422</v>
      </c>
      <c r="E1906" s="10">
        <v>66.290000000000006</v>
      </c>
      <c r="F1906" s="10"/>
      <c r="G1906" s="10">
        <v>74</v>
      </c>
      <c r="H1906" s="10"/>
      <c r="I1906" s="10">
        <v>70.92</v>
      </c>
    </row>
    <row r="1907" spans="1:9" s="2" customFormat="1" ht="21.75" customHeight="1">
      <c r="A1907" s="8" t="s">
        <v>13</v>
      </c>
      <c r="B1907" s="8" t="s">
        <v>10</v>
      </c>
      <c r="C1907" s="9" t="str">
        <f t="shared" si="39"/>
        <v>230114</v>
      </c>
      <c r="D1907" s="9" t="str">
        <f>"230900803"</f>
        <v>230900803</v>
      </c>
      <c r="E1907" s="10">
        <v>69.98</v>
      </c>
      <c r="F1907" s="10"/>
      <c r="G1907" s="10">
        <v>71.5</v>
      </c>
      <c r="H1907" s="10"/>
      <c r="I1907" s="10">
        <v>70.89</v>
      </c>
    </row>
    <row r="1908" spans="1:9" s="3" customFormat="1" ht="21.75" customHeight="1">
      <c r="A1908" s="8" t="s">
        <v>13</v>
      </c>
      <c r="B1908" s="8" t="s">
        <v>10</v>
      </c>
      <c r="C1908" s="9" t="str">
        <f t="shared" si="39"/>
        <v>230114</v>
      </c>
      <c r="D1908" s="9" t="str">
        <f>"230901226"</f>
        <v>230901226</v>
      </c>
      <c r="E1908" s="10">
        <v>64.7</v>
      </c>
      <c r="F1908" s="10"/>
      <c r="G1908" s="10">
        <v>75</v>
      </c>
      <c r="H1908" s="10"/>
      <c r="I1908" s="10">
        <v>70.88</v>
      </c>
    </row>
    <row r="1909" spans="1:9" s="2" customFormat="1" ht="21.75" customHeight="1">
      <c r="A1909" s="8" t="s">
        <v>13</v>
      </c>
      <c r="B1909" s="8" t="s">
        <v>10</v>
      </c>
      <c r="C1909" s="9" t="str">
        <f t="shared" si="39"/>
        <v>230114</v>
      </c>
      <c r="D1909" s="9" t="str">
        <f>"230900608"</f>
        <v>230900608</v>
      </c>
      <c r="E1909" s="10">
        <v>66.77</v>
      </c>
      <c r="F1909" s="10"/>
      <c r="G1909" s="10">
        <v>73.5</v>
      </c>
      <c r="H1909" s="10"/>
      <c r="I1909" s="10">
        <v>70.81</v>
      </c>
    </row>
    <row r="1910" spans="1:9" s="3" customFormat="1" ht="21.75" customHeight="1">
      <c r="A1910" s="8" t="s">
        <v>13</v>
      </c>
      <c r="B1910" s="8" t="s">
        <v>10</v>
      </c>
      <c r="C1910" s="9" t="str">
        <f t="shared" si="39"/>
        <v>230114</v>
      </c>
      <c r="D1910" s="9" t="str">
        <f>"230900910"</f>
        <v>230900910</v>
      </c>
      <c r="E1910" s="10">
        <v>77.11</v>
      </c>
      <c r="F1910" s="10"/>
      <c r="G1910" s="10">
        <v>66.5</v>
      </c>
      <c r="H1910" s="10"/>
      <c r="I1910" s="10">
        <v>70.739999999999995</v>
      </c>
    </row>
    <row r="1911" spans="1:9" s="2" customFormat="1" ht="21.75" customHeight="1">
      <c r="A1911" s="8" t="s">
        <v>13</v>
      </c>
      <c r="B1911" s="8" t="s">
        <v>10</v>
      </c>
      <c r="C1911" s="9" t="str">
        <f t="shared" si="39"/>
        <v>230114</v>
      </c>
      <c r="D1911" s="9" t="str">
        <f>"230901019"</f>
        <v>230901019</v>
      </c>
      <c r="E1911" s="10">
        <v>79.180000000000007</v>
      </c>
      <c r="F1911" s="10"/>
      <c r="G1911" s="10">
        <v>65</v>
      </c>
      <c r="H1911" s="10"/>
      <c r="I1911" s="10">
        <v>70.67</v>
      </c>
    </row>
    <row r="1912" spans="1:9" s="3" customFormat="1" ht="21.75" customHeight="1">
      <c r="A1912" s="8" t="s">
        <v>13</v>
      </c>
      <c r="B1912" s="8" t="s">
        <v>10</v>
      </c>
      <c r="C1912" s="9" t="str">
        <f t="shared" si="39"/>
        <v>230114</v>
      </c>
      <c r="D1912" s="9" t="str">
        <f>"230901421"</f>
        <v>230901421</v>
      </c>
      <c r="E1912" s="10">
        <v>68.62</v>
      </c>
      <c r="F1912" s="10"/>
      <c r="G1912" s="10">
        <v>72</v>
      </c>
      <c r="H1912" s="10"/>
      <c r="I1912" s="10">
        <v>70.650000000000006</v>
      </c>
    </row>
    <row r="1913" spans="1:9" s="2" customFormat="1" ht="21.75" customHeight="1">
      <c r="A1913" s="8" t="s">
        <v>13</v>
      </c>
      <c r="B1913" s="8" t="s">
        <v>10</v>
      </c>
      <c r="C1913" s="9" t="str">
        <f t="shared" si="39"/>
        <v>230114</v>
      </c>
      <c r="D1913" s="9" t="str">
        <f>"230900719"</f>
        <v>230900719</v>
      </c>
      <c r="E1913" s="10">
        <v>74.58</v>
      </c>
      <c r="F1913" s="10"/>
      <c r="G1913" s="10">
        <v>68</v>
      </c>
      <c r="H1913" s="10"/>
      <c r="I1913" s="10">
        <v>70.63</v>
      </c>
    </row>
    <row r="1914" spans="1:9" s="3" customFormat="1" ht="21.75" customHeight="1">
      <c r="A1914" s="8" t="s">
        <v>13</v>
      </c>
      <c r="B1914" s="8" t="s">
        <v>10</v>
      </c>
      <c r="C1914" s="9" t="str">
        <f t="shared" si="39"/>
        <v>230114</v>
      </c>
      <c r="D1914" s="9" t="str">
        <f>"230900729"</f>
        <v>230900729</v>
      </c>
      <c r="E1914" s="10">
        <v>73.069999999999993</v>
      </c>
      <c r="F1914" s="10"/>
      <c r="G1914" s="10">
        <v>69</v>
      </c>
      <c r="H1914" s="10"/>
      <c r="I1914" s="10">
        <v>70.63</v>
      </c>
    </row>
    <row r="1915" spans="1:9" s="2" customFormat="1" ht="21.75" customHeight="1">
      <c r="A1915" s="8" t="s">
        <v>13</v>
      </c>
      <c r="B1915" s="8" t="s">
        <v>10</v>
      </c>
      <c r="C1915" s="9" t="str">
        <f t="shared" si="39"/>
        <v>230114</v>
      </c>
      <c r="D1915" s="9" t="str">
        <f>"230901302"</f>
        <v>230901302</v>
      </c>
      <c r="E1915" s="10">
        <v>66.17</v>
      </c>
      <c r="F1915" s="10"/>
      <c r="G1915" s="10">
        <v>73.5</v>
      </c>
      <c r="H1915" s="10"/>
      <c r="I1915" s="10">
        <v>70.569999999999993</v>
      </c>
    </row>
    <row r="1916" spans="1:9" s="2" customFormat="1" ht="21.75" customHeight="1">
      <c r="A1916" s="8" t="s">
        <v>13</v>
      </c>
      <c r="B1916" s="8" t="s">
        <v>10</v>
      </c>
      <c r="C1916" s="9" t="str">
        <f t="shared" si="39"/>
        <v>230114</v>
      </c>
      <c r="D1916" s="9" t="str">
        <f>"230900613"</f>
        <v>230900613</v>
      </c>
      <c r="E1916" s="10">
        <v>70.540000000000006</v>
      </c>
      <c r="F1916" s="10"/>
      <c r="G1916" s="10">
        <v>70.5</v>
      </c>
      <c r="H1916" s="10"/>
      <c r="I1916" s="10">
        <v>70.52</v>
      </c>
    </row>
    <row r="1917" spans="1:9" s="2" customFormat="1" ht="21.75" customHeight="1">
      <c r="A1917" s="8" t="s">
        <v>13</v>
      </c>
      <c r="B1917" s="8" t="s">
        <v>10</v>
      </c>
      <c r="C1917" s="9" t="str">
        <f t="shared" si="39"/>
        <v>230114</v>
      </c>
      <c r="D1917" s="9" t="str">
        <f>"230901624"</f>
        <v>230901624</v>
      </c>
      <c r="E1917" s="10">
        <v>71.25</v>
      </c>
      <c r="F1917" s="10"/>
      <c r="G1917" s="10">
        <v>70</v>
      </c>
      <c r="H1917" s="10"/>
      <c r="I1917" s="10">
        <v>70.5</v>
      </c>
    </row>
    <row r="1918" spans="1:9" s="3" customFormat="1" ht="21.75" customHeight="1">
      <c r="A1918" s="8" t="s">
        <v>13</v>
      </c>
      <c r="B1918" s="8" t="s">
        <v>10</v>
      </c>
      <c r="C1918" s="9" t="str">
        <f t="shared" si="39"/>
        <v>230114</v>
      </c>
      <c r="D1918" s="9" t="str">
        <f>"230900825"</f>
        <v>230900825</v>
      </c>
      <c r="E1918" s="10">
        <v>65.72</v>
      </c>
      <c r="F1918" s="10"/>
      <c r="G1918" s="10">
        <v>73.5</v>
      </c>
      <c r="H1918" s="10"/>
      <c r="I1918" s="10">
        <v>70.39</v>
      </c>
    </row>
    <row r="1919" spans="1:9" s="2" customFormat="1" ht="21.75" customHeight="1">
      <c r="A1919" s="8" t="s">
        <v>13</v>
      </c>
      <c r="B1919" s="8" t="s">
        <v>10</v>
      </c>
      <c r="C1919" s="9" t="str">
        <f t="shared" si="39"/>
        <v>230114</v>
      </c>
      <c r="D1919" s="9" t="str">
        <f>"230900820"</f>
        <v>230900820</v>
      </c>
      <c r="E1919" s="10">
        <v>69.39</v>
      </c>
      <c r="F1919" s="10"/>
      <c r="G1919" s="10">
        <v>71</v>
      </c>
      <c r="H1919" s="10"/>
      <c r="I1919" s="10">
        <v>70.36</v>
      </c>
    </row>
    <row r="1920" spans="1:9" s="2" customFormat="1" ht="21.75" customHeight="1">
      <c r="A1920" s="8" t="s">
        <v>13</v>
      </c>
      <c r="B1920" s="8" t="s">
        <v>10</v>
      </c>
      <c r="C1920" s="9" t="str">
        <f t="shared" si="39"/>
        <v>230114</v>
      </c>
      <c r="D1920" s="9" t="str">
        <f>"230900528"</f>
        <v>230900528</v>
      </c>
      <c r="E1920" s="10">
        <v>70.86</v>
      </c>
      <c r="F1920" s="10"/>
      <c r="G1920" s="10">
        <v>70</v>
      </c>
      <c r="H1920" s="10"/>
      <c r="I1920" s="10">
        <v>70.34</v>
      </c>
    </row>
    <row r="1921" spans="1:9" s="2" customFormat="1" ht="21.75" customHeight="1">
      <c r="A1921" s="8" t="s">
        <v>13</v>
      </c>
      <c r="B1921" s="8" t="s">
        <v>10</v>
      </c>
      <c r="C1921" s="9" t="str">
        <f t="shared" si="39"/>
        <v>230114</v>
      </c>
      <c r="D1921" s="9" t="str">
        <f>"230900816"</f>
        <v>230900816</v>
      </c>
      <c r="E1921" s="10">
        <v>73.099999999999994</v>
      </c>
      <c r="F1921" s="10"/>
      <c r="G1921" s="10">
        <v>68.5</v>
      </c>
      <c r="H1921" s="10"/>
      <c r="I1921" s="10">
        <v>70.34</v>
      </c>
    </row>
    <row r="1922" spans="1:9" s="2" customFormat="1" ht="21.75" customHeight="1">
      <c r="A1922" s="8" t="s">
        <v>13</v>
      </c>
      <c r="B1922" s="8" t="s">
        <v>10</v>
      </c>
      <c r="C1922" s="9" t="str">
        <f t="shared" si="39"/>
        <v>230114</v>
      </c>
      <c r="D1922" s="9" t="str">
        <f>"230900907"</f>
        <v>230900907</v>
      </c>
      <c r="E1922" s="10">
        <v>57.93</v>
      </c>
      <c r="F1922" s="10"/>
      <c r="G1922" s="10">
        <v>78.5</v>
      </c>
      <c r="H1922" s="10"/>
      <c r="I1922" s="10">
        <v>70.27</v>
      </c>
    </row>
    <row r="1923" spans="1:9" s="3" customFormat="1" ht="21.75" customHeight="1">
      <c r="A1923" s="8" t="s">
        <v>13</v>
      </c>
      <c r="B1923" s="8" t="s">
        <v>10</v>
      </c>
      <c r="C1923" s="9" t="str">
        <f t="shared" si="39"/>
        <v>230114</v>
      </c>
      <c r="D1923" s="9" t="str">
        <f>"230901129"</f>
        <v>230901129</v>
      </c>
      <c r="E1923" s="10">
        <v>70.66</v>
      </c>
      <c r="F1923" s="10"/>
      <c r="G1923" s="10">
        <v>70</v>
      </c>
      <c r="H1923" s="10"/>
      <c r="I1923" s="10">
        <v>70.260000000000005</v>
      </c>
    </row>
    <row r="1924" spans="1:9" s="2" customFormat="1" ht="21.75" customHeight="1">
      <c r="A1924" s="8" t="s">
        <v>13</v>
      </c>
      <c r="B1924" s="8" t="s">
        <v>10</v>
      </c>
      <c r="C1924" s="9" t="str">
        <f t="shared" si="39"/>
        <v>230114</v>
      </c>
      <c r="D1924" s="9" t="str">
        <f>"230901119"</f>
        <v>230901119</v>
      </c>
      <c r="E1924" s="10">
        <v>73.31</v>
      </c>
      <c r="F1924" s="10"/>
      <c r="G1924" s="10">
        <v>68</v>
      </c>
      <c r="H1924" s="10"/>
      <c r="I1924" s="10">
        <v>70.12</v>
      </c>
    </row>
    <row r="1925" spans="1:9" s="2" customFormat="1" ht="21.75" customHeight="1">
      <c r="A1925" s="8" t="s">
        <v>13</v>
      </c>
      <c r="B1925" s="8" t="s">
        <v>10</v>
      </c>
      <c r="C1925" s="9" t="str">
        <f t="shared" si="39"/>
        <v>230114</v>
      </c>
      <c r="D1925" s="9" t="str">
        <f>"230901224"</f>
        <v>230901224</v>
      </c>
      <c r="E1925" s="10">
        <v>72.510000000000005</v>
      </c>
      <c r="F1925" s="10"/>
      <c r="G1925" s="10">
        <v>68.5</v>
      </c>
      <c r="H1925" s="10"/>
      <c r="I1925" s="10">
        <v>70.099999999999994</v>
      </c>
    </row>
    <row r="1926" spans="1:9" s="3" customFormat="1" ht="21.75" customHeight="1">
      <c r="A1926" s="8" t="s">
        <v>13</v>
      </c>
      <c r="B1926" s="8" t="s">
        <v>10</v>
      </c>
      <c r="C1926" s="9" t="str">
        <f t="shared" si="39"/>
        <v>230114</v>
      </c>
      <c r="D1926" s="9" t="str">
        <f>"230901230"</f>
        <v>230901230</v>
      </c>
      <c r="E1926" s="10">
        <v>75.510000000000005</v>
      </c>
      <c r="F1926" s="10"/>
      <c r="G1926" s="10">
        <v>66.5</v>
      </c>
      <c r="H1926" s="10"/>
      <c r="I1926" s="10">
        <v>70.099999999999994</v>
      </c>
    </row>
    <row r="1927" spans="1:9" s="2" customFormat="1" ht="21.75" customHeight="1">
      <c r="A1927" s="8" t="s">
        <v>13</v>
      </c>
      <c r="B1927" s="8" t="s">
        <v>10</v>
      </c>
      <c r="C1927" s="9" t="str">
        <f t="shared" si="39"/>
        <v>230114</v>
      </c>
      <c r="D1927" s="9" t="str">
        <f>"230901529"</f>
        <v>230901529</v>
      </c>
      <c r="E1927" s="10">
        <v>72.39</v>
      </c>
      <c r="F1927" s="10"/>
      <c r="G1927" s="10">
        <v>68.5</v>
      </c>
      <c r="H1927" s="10"/>
      <c r="I1927" s="10">
        <v>70.06</v>
      </c>
    </row>
    <row r="1928" spans="1:9" s="2" customFormat="1" ht="21.75" customHeight="1">
      <c r="A1928" s="8" t="s">
        <v>13</v>
      </c>
      <c r="B1928" s="8" t="s">
        <v>10</v>
      </c>
      <c r="C1928" s="9" t="str">
        <f t="shared" si="39"/>
        <v>230114</v>
      </c>
      <c r="D1928" s="9" t="str">
        <f>"230900629"</f>
        <v>230900629</v>
      </c>
      <c r="E1928" s="10">
        <v>81.239999999999995</v>
      </c>
      <c r="F1928" s="10"/>
      <c r="G1928" s="10">
        <v>62.5</v>
      </c>
      <c r="H1928" s="10"/>
      <c r="I1928" s="10">
        <v>70</v>
      </c>
    </row>
    <row r="1929" spans="1:9" s="3" customFormat="1" ht="21.75" customHeight="1">
      <c r="A1929" s="8" t="s">
        <v>13</v>
      </c>
      <c r="B1929" s="8" t="s">
        <v>10</v>
      </c>
      <c r="C1929" s="9" t="str">
        <f t="shared" si="39"/>
        <v>230114</v>
      </c>
      <c r="D1929" s="9" t="str">
        <f>"230901008"</f>
        <v>230901008</v>
      </c>
      <c r="E1929" s="10">
        <v>63.22</v>
      </c>
      <c r="F1929" s="10"/>
      <c r="G1929" s="10">
        <v>74.5</v>
      </c>
      <c r="H1929" s="10"/>
      <c r="I1929" s="10">
        <v>69.989999999999995</v>
      </c>
    </row>
    <row r="1930" spans="1:9" s="2" customFormat="1" ht="21.75" customHeight="1">
      <c r="A1930" s="8" t="s">
        <v>13</v>
      </c>
      <c r="B1930" s="8" t="s">
        <v>10</v>
      </c>
      <c r="C1930" s="9" t="str">
        <f t="shared" si="39"/>
        <v>230114</v>
      </c>
      <c r="D1930" s="9" t="str">
        <f>"230901330"</f>
        <v>230901330</v>
      </c>
      <c r="E1930" s="10">
        <v>72.16</v>
      </c>
      <c r="F1930" s="10"/>
      <c r="G1930" s="10">
        <v>68.5</v>
      </c>
      <c r="H1930" s="10"/>
      <c r="I1930" s="10">
        <v>69.959999999999994</v>
      </c>
    </row>
    <row r="1931" spans="1:9" s="2" customFormat="1" ht="21.75" customHeight="1">
      <c r="A1931" s="8" t="s">
        <v>13</v>
      </c>
      <c r="B1931" s="8" t="s">
        <v>10</v>
      </c>
      <c r="C1931" s="9" t="str">
        <f t="shared" si="39"/>
        <v>230114</v>
      </c>
      <c r="D1931" s="9" t="str">
        <f>"230901526"</f>
        <v>230901526</v>
      </c>
      <c r="E1931" s="10">
        <v>72.16</v>
      </c>
      <c r="F1931" s="10"/>
      <c r="G1931" s="10">
        <v>68.5</v>
      </c>
      <c r="H1931" s="10"/>
      <c r="I1931" s="10">
        <v>69.959999999999994</v>
      </c>
    </row>
    <row r="1932" spans="1:9" s="2" customFormat="1" ht="21.75" customHeight="1">
      <c r="A1932" s="8" t="s">
        <v>13</v>
      </c>
      <c r="B1932" s="8" t="s">
        <v>10</v>
      </c>
      <c r="C1932" s="9" t="str">
        <f t="shared" si="39"/>
        <v>230114</v>
      </c>
      <c r="D1932" s="9" t="str">
        <f>"230901625"</f>
        <v>230901625</v>
      </c>
      <c r="E1932" s="10">
        <v>66.86</v>
      </c>
      <c r="F1932" s="10"/>
      <c r="G1932" s="10">
        <v>72</v>
      </c>
      <c r="H1932" s="10"/>
      <c r="I1932" s="10">
        <v>69.94</v>
      </c>
    </row>
    <row r="1933" spans="1:9" s="2" customFormat="1" ht="21.75" customHeight="1">
      <c r="A1933" s="8" t="s">
        <v>13</v>
      </c>
      <c r="B1933" s="8" t="s">
        <v>10</v>
      </c>
      <c r="C1933" s="9" t="str">
        <f t="shared" si="39"/>
        <v>230114</v>
      </c>
      <c r="D1933" s="9" t="str">
        <f>"230901025"</f>
        <v>230901025</v>
      </c>
      <c r="E1933" s="10">
        <v>65.150000000000006</v>
      </c>
      <c r="F1933" s="10"/>
      <c r="G1933" s="10">
        <v>73</v>
      </c>
      <c r="H1933" s="10"/>
      <c r="I1933" s="10">
        <v>69.86</v>
      </c>
    </row>
    <row r="1934" spans="1:9" s="2" customFormat="1" ht="21.75" customHeight="1">
      <c r="A1934" s="8" t="s">
        <v>13</v>
      </c>
      <c r="B1934" s="8" t="s">
        <v>10</v>
      </c>
      <c r="C1934" s="9" t="str">
        <f t="shared" si="39"/>
        <v>230114</v>
      </c>
      <c r="D1934" s="9" t="str">
        <f>"230901221"</f>
        <v>230901221</v>
      </c>
      <c r="E1934" s="10">
        <v>66.64</v>
      </c>
      <c r="F1934" s="10"/>
      <c r="G1934" s="10">
        <v>72</v>
      </c>
      <c r="H1934" s="10"/>
      <c r="I1934" s="10">
        <v>69.86</v>
      </c>
    </row>
    <row r="1935" spans="1:9" s="3" customFormat="1" ht="21.75" customHeight="1">
      <c r="A1935" s="8" t="s">
        <v>13</v>
      </c>
      <c r="B1935" s="8" t="s">
        <v>10</v>
      </c>
      <c r="C1935" s="9" t="str">
        <f t="shared" si="39"/>
        <v>230114</v>
      </c>
      <c r="D1935" s="9" t="str">
        <f>"230901217"</f>
        <v>230901217</v>
      </c>
      <c r="E1935" s="10">
        <v>68.12</v>
      </c>
      <c r="F1935" s="10"/>
      <c r="G1935" s="10">
        <v>71</v>
      </c>
      <c r="H1935" s="10"/>
      <c r="I1935" s="10">
        <v>69.849999999999994</v>
      </c>
    </row>
    <row r="1936" spans="1:9" s="2" customFormat="1" ht="21.75" customHeight="1">
      <c r="A1936" s="8" t="s">
        <v>13</v>
      </c>
      <c r="B1936" s="8" t="s">
        <v>10</v>
      </c>
      <c r="C1936" s="9" t="str">
        <f t="shared" si="39"/>
        <v>230114</v>
      </c>
      <c r="D1936" s="9" t="str">
        <f>"230901606"</f>
        <v>230901606</v>
      </c>
      <c r="E1936" s="10">
        <v>68.13</v>
      </c>
      <c r="F1936" s="10"/>
      <c r="G1936" s="10">
        <v>71</v>
      </c>
      <c r="H1936" s="10"/>
      <c r="I1936" s="10">
        <v>69.849999999999994</v>
      </c>
    </row>
    <row r="1937" spans="1:9" s="2" customFormat="1" ht="21.75" customHeight="1">
      <c r="A1937" s="8" t="s">
        <v>13</v>
      </c>
      <c r="B1937" s="8" t="s">
        <v>10</v>
      </c>
      <c r="C1937" s="9" t="str">
        <f t="shared" si="39"/>
        <v>230114</v>
      </c>
      <c r="D1937" s="9" t="str">
        <f>"230900628"</f>
        <v>230900628</v>
      </c>
      <c r="E1937" s="10">
        <v>70.33</v>
      </c>
      <c r="F1937" s="10"/>
      <c r="G1937" s="10">
        <v>69.5</v>
      </c>
      <c r="H1937" s="10"/>
      <c r="I1937" s="10">
        <v>69.83</v>
      </c>
    </row>
    <row r="1938" spans="1:9" s="2" customFormat="1" ht="21.75" customHeight="1">
      <c r="A1938" s="8" t="s">
        <v>13</v>
      </c>
      <c r="B1938" s="8" t="s">
        <v>10</v>
      </c>
      <c r="C1938" s="9" t="str">
        <f t="shared" si="39"/>
        <v>230114</v>
      </c>
      <c r="D1938" s="9" t="str">
        <f>"230901307"</f>
        <v>230901307</v>
      </c>
      <c r="E1938" s="10">
        <v>71.569999999999993</v>
      </c>
      <c r="F1938" s="10"/>
      <c r="G1938" s="10">
        <v>68.5</v>
      </c>
      <c r="H1938" s="10"/>
      <c r="I1938" s="10">
        <v>69.73</v>
      </c>
    </row>
    <row r="1939" spans="1:9" s="2" customFormat="1" ht="21.75" customHeight="1">
      <c r="A1939" s="8" t="s">
        <v>13</v>
      </c>
      <c r="B1939" s="8" t="s">
        <v>10</v>
      </c>
      <c r="C1939" s="9" t="str">
        <f t="shared" si="39"/>
        <v>230114</v>
      </c>
      <c r="D1939" s="9" t="str">
        <f>"230901405"</f>
        <v>230901405</v>
      </c>
      <c r="E1939" s="10">
        <v>72.150000000000006</v>
      </c>
      <c r="F1939" s="10"/>
      <c r="G1939" s="10">
        <v>68</v>
      </c>
      <c r="H1939" s="10"/>
      <c r="I1939" s="10">
        <v>69.66</v>
      </c>
    </row>
    <row r="1940" spans="1:9" s="2" customFormat="1" ht="21.75" customHeight="1">
      <c r="A1940" s="8" t="s">
        <v>13</v>
      </c>
      <c r="B1940" s="8" t="s">
        <v>10</v>
      </c>
      <c r="C1940" s="9" t="str">
        <f t="shared" si="39"/>
        <v>230114</v>
      </c>
      <c r="D1940" s="9" t="str">
        <f>"230901516"</f>
        <v>230901516</v>
      </c>
      <c r="E1940" s="10">
        <v>69.64</v>
      </c>
      <c r="F1940" s="10"/>
      <c r="G1940" s="10">
        <v>69.5</v>
      </c>
      <c r="H1940" s="10"/>
      <c r="I1940" s="10">
        <v>69.56</v>
      </c>
    </row>
    <row r="1941" spans="1:9" s="2" customFormat="1" ht="21.75" customHeight="1">
      <c r="A1941" s="8" t="s">
        <v>13</v>
      </c>
      <c r="B1941" s="8" t="s">
        <v>10</v>
      </c>
      <c r="C1941" s="9" t="str">
        <f t="shared" si="39"/>
        <v>230114</v>
      </c>
      <c r="D1941" s="9" t="str">
        <f>"230901024"</f>
        <v>230901024</v>
      </c>
      <c r="E1941" s="10">
        <v>68.819999999999993</v>
      </c>
      <c r="F1941" s="10"/>
      <c r="G1941" s="10">
        <v>70</v>
      </c>
      <c r="H1941" s="10"/>
      <c r="I1941" s="10">
        <v>69.53</v>
      </c>
    </row>
    <row r="1942" spans="1:9" s="2" customFormat="1" ht="21.75" customHeight="1">
      <c r="A1942" s="8" t="s">
        <v>13</v>
      </c>
      <c r="B1942" s="8" t="s">
        <v>10</v>
      </c>
      <c r="C1942" s="9" t="str">
        <f t="shared" si="39"/>
        <v>230114</v>
      </c>
      <c r="D1942" s="9" t="str">
        <f>"230900813"</f>
        <v>230900813</v>
      </c>
      <c r="E1942" s="10">
        <v>66.3</v>
      </c>
      <c r="F1942" s="10"/>
      <c r="G1942" s="10">
        <v>71.5</v>
      </c>
      <c r="H1942" s="10"/>
      <c r="I1942" s="10">
        <v>69.42</v>
      </c>
    </row>
    <row r="1943" spans="1:9" s="2" customFormat="1" ht="21.75" customHeight="1">
      <c r="A1943" s="8" t="s">
        <v>13</v>
      </c>
      <c r="B1943" s="8" t="s">
        <v>10</v>
      </c>
      <c r="C1943" s="9" t="str">
        <f t="shared" si="39"/>
        <v>230114</v>
      </c>
      <c r="D1943" s="9" t="str">
        <f>"230901706"</f>
        <v>230901706</v>
      </c>
      <c r="E1943" s="10">
        <v>69.97</v>
      </c>
      <c r="F1943" s="10"/>
      <c r="G1943" s="10">
        <v>69</v>
      </c>
      <c r="H1943" s="10"/>
      <c r="I1943" s="10">
        <v>69.39</v>
      </c>
    </row>
    <row r="1944" spans="1:9" s="2" customFormat="1" ht="21.75" customHeight="1">
      <c r="A1944" s="8" t="s">
        <v>13</v>
      </c>
      <c r="B1944" s="8" t="s">
        <v>10</v>
      </c>
      <c r="C1944" s="9" t="str">
        <f t="shared" si="39"/>
        <v>230114</v>
      </c>
      <c r="D1944" s="9" t="str">
        <f>"230901016"</f>
        <v>230901016</v>
      </c>
      <c r="E1944" s="10">
        <v>69.17</v>
      </c>
      <c r="F1944" s="10"/>
      <c r="G1944" s="10">
        <v>69.5</v>
      </c>
      <c r="H1944" s="10"/>
      <c r="I1944" s="10">
        <v>69.37</v>
      </c>
    </row>
    <row r="1945" spans="1:9" s="2" customFormat="1" ht="21.75" customHeight="1">
      <c r="A1945" s="8" t="s">
        <v>13</v>
      </c>
      <c r="B1945" s="8" t="s">
        <v>10</v>
      </c>
      <c r="C1945" s="9" t="str">
        <f t="shared" si="39"/>
        <v>230114</v>
      </c>
      <c r="D1945" s="9" t="str">
        <f>"230900913"</f>
        <v>230900913</v>
      </c>
      <c r="E1945" s="10">
        <v>65.94</v>
      </c>
      <c r="F1945" s="10"/>
      <c r="G1945" s="10">
        <v>71.5</v>
      </c>
      <c r="H1945" s="10"/>
      <c r="I1945" s="10">
        <v>69.28</v>
      </c>
    </row>
    <row r="1946" spans="1:9" s="2" customFormat="1" ht="21.75" customHeight="1">
      <c r="A1946" s="8" t="s">
        <v>13</v>
      </c>
      <c r="B1946" s="8" t="s">
        <v>10</v>
      </c>
      <c r="C1946" s="9" t="str">
        <f t="shared" si="39"/>
        <v>230114</v>
      </c>
      <c r="D1946" s="9" t="str">
        <f>"230900921"</f>
        <v>230900921</v>
      </c>
      <c r="E1946" s="10">
        <v>69.64</v>
      </c>
      <c r="F1946" s="10"/>
      <c r="G1946" s="10">
        <v>69</v>
      </c>
      <c r="H1946" s="10"/>
      <c r="I1946" s="10">
        <v>69.260000000000005</v>
      </c>
    </row>
    <row r="1947" spans="1:9" s="2" customFormat="1" ht="21.75" customHeight="1">
      <c r="A1947" s="8" t="s">
        <v>13</v>
      </c>
      <c r="B1947" s="8" t="s">
        <v>10</v>
      </c>
      <c r="C1947" s="9" t="str">
        <f t="shared" si="39"/>
        <v>230114</v>
      </c>
      <c r="D1947" s="9" t="str">
        <f>"230901215"</f>
        <v>230901215</v>
      </c>
      <c r="E1947" s="10">
        <v>64.92</v>
      </c>
      <c r="F1947" s="10"/>
      <c r="G1947" s="10">
        <v>72</v>
      </c>
      <c r="H1947" s="10"/>
      <c r="I1947" s="10">
        <v>69.17</v>
      </c>
    </row>
    <row r="1948" spans="1:9" s="2" customFormat="1" ht="21.75" customHeight="1">
      <c r="A1948" s="8" t="s">
        <v>13</v>
      </c>
      <c r="B1948" s="8" t="s">
        <v>10</v>
      </c>
      <c r="C1948" s="9" t="str">
        <f t="shared" si="39"/>
        <v>230114</v>
      </c>
      <c r="D1948" s="9" t="str">
        <f>"230900823"</f>
        <v>230900823</v>
      </c>
      <c r="E1948" s="10">
        <v>59.62</v>
      </c>
      <c r="F1948" s="10">
        <v>2</v>
      </c>
      <c r="G1948" s="10">
        <v>72</v>
      </c>
      <c r="H1948" s="10">
        <v>2</v>
      </c>
      <c r="I1948" s="11">
        <v>69.05</v>
      </c>
    </row>
    <row r="1949" spans="1:9" s="2" customFormat="1" ht="21.75" customHeight="1">
      <c r="A1949" s="8" t="s">
        <v>13</v>
      </c>
      <c r="B1949" s="8" t="s">
        <v>10</v>
      </c>
      <c r="C1949" s="9" t="str">
        <f t="shared" si="39"/>
        <v>230114</v>
      </c>
      <c r="D1949" s="9" t="str">
        <f>"230901525"</f>
        <v>230901525</v>
      </c>
      <c r="E1949" s="10">
        <v>69.05</v>
      </c>
      <c r="F1949" s="10"/>
      <c r="G1949" s="10">
        <v>69</v>
      </c>
      <c r="H1949" s="10"/>
      <c r="I1949" s="10">
        <v>69.02</v>
      </c>
    </row>
    <row r="1950" spans="1:9" s="3" customFormat="1" ht="21.75" customHeight="1">
      <c r="A1950" s="8" t="s">
        <v>13</v>
      </c>
      <c r="B1950" s="8" t="s">
        <v>10</v>
      </c>
      <c r="C1950" s="9" t="str">
        <f t="shared" si="39"/>
        <v>230114</v>
      </c>
      <c r="D1950" s="9" t="str">
        <f>"230900917"</f>
        <v>230900917</v>
      </c>
      <c r="E1950" s="10">
        <v>64.23</v>
      </c>
      <c r="F1950" s="10"/>
      <c r="G1950" s="10">
        <v>72</v>
      </c>
      <c r="H1950" s="10"/>
      <c r="I1950" s="10">
        <v>68.89</v>
      </c>
    </row>
    <row r="1951" spans="1:9" s="3" customFormat="1" ht="21.75" customHeight="1">
      <c r="A1951" s="8" t="s">
        <v>13</v>
      </c>
      <c r="B1951" s="8" t="s">
        <v>10</v>
      </c>
      <c r="C1951" s="9" t="str">
        <f t="shared" si="39"/>
        <v>230114</v>
      </c>
      <c r="D1951" s="9" t="str">
        <f>"230901419"</f>
        <v>230901419</v>
      </c>
      <c r="E1951" s="10">
        <v>63.32</v>
      </c>
      <c r="F1951" s="10"/>
      <c r="G1951" s="10">
        <v>72.5</v>
      </c>
      <c r="H1951" s="10"/>
      <c r="I1951" s="10">
        <v>68.83</v>
      </c>
    </row>
    <row r="1952" spans="1:9" s="2" customFormat="1" ht="21.75" customHeight="1">
      <c r="A1952" s="8" t="s">
        <v>13</v>
      </c>
      <c r="B1952" s="8" t="s">
        <v>10</v>
      </c>
      <c r="C1952" s="9" t="str">
        <f t="shared" si="39"/>
        <v>230114</v>
      </c>
      <c r="D1952" s="9" t="str">
        <f>"230900704"</f>
        <v>230900704</v>
      </c>
      <c r="E1952" s="10">
        <v>63.19</v>
      </c>
      <c r="F1952" s="10"/>
      <c r="G1952" s="10">
        <v>72.5</v>
      </c>
      <c r="H1952" s="10"/>
      <c r="I1952" s="10">
        <v>68.78</v>
      </c>
    </row>
    <row r="1953" spans="1:9" s="2" customFormat="1" ht="21.75" customHeight="1">
      <c r="A1953" s="8" t="s">
        <v>13</v>
      </c>
      <c r="B1953" s="8" t="s">
        <v>10</v>
      </c>
      <c r="C1953" s="9" t="str">
        <f t="shared" si="39"/>
        <v>230114</v>
      </c>
      <c r="D1953" s="9" t="str">
        <f>"230901622"</f>
        <v>230901622</v>
      </c>
      <c r="E1953" s="10">
        <v>63.89</v>
      </c>
      <c r="F1953" s="10"/>
      <c r="G1953" s="10">
        <v>72</v>
      </c>
      <c r="H1953" s="10"/>
      <c r="I1953" s="10">
        <v>68.760000000000005</v>
      </c>
    </row>
    <row r="1954" spans="1:9" s="2" customFormat="1" ht="21.75" customHeight="1">
      <c r="A1954" s="8" t="s">
        <v>13</v>
      </c>
      <c r="B1954" s="8" t="s">
        <v>10</v>
      </c>
      <c r="C1954" s="9" t="str">
        <f t="shared" si="39"/>
        <v>230114</v>
      </c>
      <c r="D1954" s="9" t="str">
        <f>"230900808"</f>
        <v>230900808</v>
      </c>
      <c r="E1954" s="10">
        <v>65.37</v>
      </c>
      <c r="F1954" s="10"/>
      <c r="G1954" s="10">
        <v>71</v>
      </c>
      <c r="H1954" s="10"/>
      <c r="I1954" s="10">
        <v>68.75</v>
      </c>
    </row>
    <row r="1955" spans="1:9" s="2" customFormat="1" ht="21.75" customHeight="1">
      <c r="A1955" s="8" t="s">
        <v>13</v>
      </c>
      <c r="B1955" s="8" t="s">
        <v>10</v>
      </c>
      <c r="C1955" s="9" t="str">
        <f t="shared" si="39"/>
        <v>230114</v>
      </c>
      <c r="D1955" s="9" t="str">
        <f>"230900722"</f>
        <v>230900722</v>
      </c>
      <c r="E1955" s="10">
        <v>60.78</v>
      </c>
      <c r="F1955" s="10"/>
      <c r="G1955" s="10">
        <v>74</v>
      </c>
      <c r="H1955" s="10"/>
      <c r="I1955" s="10">
        <v>68.709999999999994</v>
      </c>
    </row>
    <row r="1956" spans="1:9" s="2" customFormat="1" ht="21.75" customHeight="1">
      <c r="A1956" s="8" t="s">
        <v>13</v>
      </c>
      <c r="B1956" s="8" t="s">
        <v>10</v>
      </c>
      <c r="C1956" s="9" t="str">
        <f t="shared" si="39"/>
        <v>230114</v>
      </c>
      <c r="D1956" s="9" t="str">
        <f>"230901222"</f>
        <v>230901222</v>
      </c>
      <c r="E1956" s="10">
        <v>60.78</v>
      </c>
      <c r="F1956" s="10"/>
      <c r="G1956" s="10">
        <v>74</v>
      </c>
      <c r="H1956" s="10"/>
      <c r="I1956" s="10">
        <v>68.709999999999994</v>
      </c>
    </row>
    <row r="1957" spans="1:9" s="2" customFormat="1" ht="21.75" customHeight="1">
      <c r="A1957" s="8" t="s">
        <v>13</v>
      </c>
      <c r="B1957" s="8" t="s">
        <v>10</v>
      </c>
      <c r="C1957" s="9" t="str">
        <f t="shared" si="39"/>
        <v>230114</v>
      </c>
      <c r="D1957" s="9" t="str">
        <f>"230901017"</f>
        <v>230901017</v>
      </c>
      <c r="E1957" s="10">
        <v>68.150000000000006</v>
      </c>
      <c r="F1957" s="10"/>
      <c r="G1957" s="10">
        <v>69</v>
      </c>
      <c r="H1957" s="10"/>
      <c r="I1957" s="10">
        <v>68.66</v>
      </c>
    </row>
    <row r="1958" spans="1:9" s="2" customFormat="1" ht="21.75" customHeight="1">
      <c r="A1958" s="8" t="s">
        <v>13</v>
      </c>
      <c r="B1958" s="8" t="s">
        <v>10</v>
      </c>
      <c r="C1958" s="9" t="str">
        <f t="shared" si="39"/>
        <v>230114</v>
      </c>
      <c r="D1958" s="9" t="str">
        <f>"230901712"</f>
        <v>230901712</v>
      </c>
      <c r="E1958" s="10">
        <v>69.62</v>
      </c>
      <c r="F1958" s="10"/>
      <c r="G1958" s="10">
        <v>68</v>
      </c>
      <c r="H1958" s="10"/>
      <c r="I1958" s="10">
        <v>68.650000000000006</v>
      </c>
    </row>
    <row r="1959" spans="1:9" s="2" customFormat="1" ht="21.75" customHeight="1">
      <c r="A1959" s="8" t="s">
        <v>13</v>
      </c>
      <c r="B1959" s="8" t="s">
        <v>10</v>
      </c>
      <c r="C1959" s="9" t="str">
        <f t="shared" si="39"/>
        <v>230114</v>
      </c>
      <c r="D1959" s="9" t="str">
        <f>"230901528"</f>
        <v>230901528</v>
      </c>
      <c r="E1959" s="10">
        <v>74.81</v>
      </c>
      <c r="F1959" s="10"/>
      <c r="G1959" s="10">
        <v>64.5</v>
      </c>
      <c r="H1959" s="10"/>
      <c r="I1959" s="10">
        <v>68.62</v>
      </c>
    </row>
    <row r="1960" spans="1:9" s="2" customFormat="1" ht="21.75" customHeight="1">
      <c r="A1960" s="8" t="s">
        <v>13</v>
      </c>
      <c r="B1960" s="8" t="s">
        <v>10</v>
      </c>
      <c r="C1960" s="9" t="str">
        <f t="shared" si="39"/>
        <v>230114</v>
      </c>
      <c r="D1960" s="9" t="str">
        <f>"230900919"</f>
        <v>230900919</v>
      </c>
      <c r="E1960" s="10">
        <v>65.36</v>
      </c>
      <c r="F1960" s="10"/>
      <c r="G1960" s="10">
        <v>70.5</v>
      </c>
      <c r="H1960" s="10"/>
      <c r="I1960" s="10">
        <v>68.44</v>
      </c>
    </row>
    <row r="1961" spans="1:9" s="2" customFormat="1" ht="21.75" customHeight="1">
      <c r="A1961" s="8" t="s">
        <v>13</v>
      </c>
      <c r="B1961" s="8" t="s">
        <v>10</v>
      </c>
      <c r="C1961" s="9" t="str">
        <f t="shared" si="39"/>
        <v>230114</v>
      </c>
      <c r="D1961" s="9" t="str">
        <f>"230901125"</f>
        <v>230901125</v>
      </c>
      <c r="E1961" s="10">
        <v>64.56</v>
      </c>
      <c r="F1961" s="10"/>
      <c r="G1961" s="10">
        <v>71</v>
      </c>
      <c r="H1961" s="10"/>
      <c r="I1961" s="10">
        <v>68.42</v>
      </c>
    </row>
    <row r="1962" spans="1:9" s="2" customFormat="1" ht="21.75" customHeight="1">
      <c r="A1962" s="8" t="s">
        <v>13</v>
      </c>
      <c r="B1962" s="8" t="s">
        <v>10</v>
      </c>
      <c r="C1962" s="9" t="str">
        <f t="shared" si="39"/>
        <v>230114</v>
      </c>
      <c r="D1962" s="9" t="str">
        <f>"230901120"</f>
        <v>230901120</v>
      </c>
      <c r="E1962" s="10">
        <v>62.14</v>
      </c>
      <c r="F1962" s="10"/>
      <c r="G1962" s="10">
        <v>72.5</v>
      </c>
      <c r="H1962" s="10"/>
      <c r="I1962" s="10">
        <v>68.36</v>
      </c>
    </row>
    <row r="1963" spans="1:9" s="3" customFormat="1" ht="21.75" customHeight="1">
      <c r="A1963" s="8" t="s">
        <v>13</v>
      </c>
      <c r="B1963" s="8" t="s">
        <v>10</v>
      </c>
      <c r="C1963" s="9" t="str">
        <f t="shared" ref="C1963:C2026" si="40">"230114"</f>
        <v>230114</v>
      </c>
      <c r="D1963" s="9" t="str">
        <f>"230901123"</f>
        <v>230901123</v>
      </c>
      <c r="E1963" s="10">
        <v>65.59</v>
      </c>
      <c r="F1963" s="10"/>
      <c r="G1963" s="10">
        <v>70</v>
      </c>
      <c r="H1963" s="10"/>
      <c r="I1963" s="10">
        <v>68.239999999999995</v>
      </c>
    </row>
    <row r="1964" spans="1:9" s="2" customFormat="1" ht="21.75" customHeight="1">
      <c r="A1964" s="8" t="s">
        <v>13</v>
      </c>
      <c r="B1964" s="8" t="s">
        <v>10</v>
      </c>
      <c r="C1964" s="9" t="str">
        <f t="shared" si="40"/>
        <v>230114</v>
      </c>
      <c r="D1964" s="9" t="str">
        <f>"230901519"</f>
        <v>230901519</v>
      </c>
      <c r="E1964" s="10">
        <v>76.63</v>
      </c>
      <c r="F1964" s="10"/>
      <c r="G1964" s="10">
        <v>62.5</v>
      </c>
      <c r="H1964" s="10"/>
      <c r="I1964" s="10">
        <v>68.150000000000006</v>
      </c>
    </row>
    <row r="1965" spans="1:9" s="2" customFormat="1" ht="21.75" customHeight="1">
      <c r="A1965" s="8" t="s">
        <v>13</v>
      </c>
      <c r="B1965" s="8" t="s">
        <v>10</v>
      </c>
      <c r="C1965" s="9" t="str">
        <f t="shared" si="40"/>
        <v>230114</v>
      </c>
      <c r="D1965" s="9" t="str">
        <f>"230900901"</f>
        <v>230900901</v>
      </c>
      <c r="E1965" s="10">
        <v>65.150000000000006</v>
      </c>
      <c r="F1965" s="10"/>
      <c r="G1965" s="10">
        <v>70</v>
      </c>
      <c r="H1965" s="10"/>
      <c r="I1965" s="10">
        <v>68.06</v>
      </c>
    </row>
    <row r="1966" spans="1:9" s="2" customFormat="1" ht="21.75" customHeight="1">
      <c r="A1966" s="8" t="s">
        <v>13</v>
      </c>
      <c r="B1966" s="8" t="s">
        <v>10</v>
      </c>
      <c r="C1966" s="9" t="str">
        <f t="shared" si="40"/>
        <v>230114</v>
      </c>
      <c r="D1966" s="9" t="str">
        <f>"230901611"</f>
        <v>230901611</v>
      </c>
      <c r="E1966" s="10">
        <v>69.53</v>
      </c>
      <c r="F1966" s="10"/>
      <c r="G1966" s="10">
        <v>67</v>
      </c>
      <c r="H1966" s="10"/>
      <c r="I1966" s="10">
        <v>68.010000000000005</v>
      </c>
    </row>
    <row r="1967" spans="1:9" s="2" customFormat="1" ht="21.75" customHeight="1">
      <c r="A1967" s="8" t="s">
        <v>13</v>
      </c>
      <c r="B1967" s="8" t="s">
        <v>10</v>
      </c>
      <c r="C1967" s="9" t="str">
        <f t="shared" si="40"/>
        <v>230114</v>
      </c>
      <c r="D1967" s="9" t="str">
        <f>"230900807"</f>
        <v>230900807</v>
      </c>
      <c r="E1967" s="10">
        <v>55.97</v>
      </c>
      <c r="F1967" s="10"/>
      <c r="G1967" s="10">
        <v>76</v>
      </c>
      <c r="H1967" s="10"/>
      <c r="I1967" s="10">
        <v>67.989999999999995</v>
      </c>
    </row>
    <row r="1968" spans="1:9" s="3" customFormat="1" ht="21.75" customHeight="1">
      <c r="A1968" s="8" t="s">
        <v>13</v>
      </c>
      <c r="B1968" s="8" t="s">
        <v>10</v>
      </c>
      <c r="C1968" s="9" t="str">
        <f t="shared" si="40"/>
        <v>230114</v>
      </c>
      <c r="D1968" s="9" t="str">
        <f>"230901205"</f>
        <v>230901205</v>
      </c>
      <c r="E1968" s="10">
        <v>68.69</v>
      </c>
      <c r="F1968" s="10"/>
      <c r="G1968" s="10">
        <v>67.5</v>
      </c>
      <c r="H1968" s="10"/>
      <c r="I1968" s="10">
        <v>67.98</v>
      </c>
    </row>
    <row r="1969" spans="1:9" s="3" customFormat="1" ht="21.75" customHeight="1">
      <c r="A1969" s="8" t="s">
        <v>13</v>
      </c>
      <c r="B1969" s="8" t="s">
        <v>10</v>
      </c>
      <c r="C1969" s="9" t="str">
        <f t="shared" si="40"/>
        <v>230114</v>
      </c>
      <c r="D1969" s="9" t="str">
        <f>"230900819"</f>
        <v>230900819</v>
      </c>
      <c r="E1969" s="10">
        <v>65.84</v>
      </c>
      <c r="F1969" s="10"/>
      <c r="G1969" s="10">
        <v>69</v>
      </c>
      <c r="H1969" s="10"/>
      <c r="I1969" s="10">
        <v>67.739999999999995</v>
      </c>
    </row>
    <row r="1970" spans="1:9" s="2" customFormat="1" ht="21.75" customHeight="1">
      <c r="A1970" s="8" t="s">
        <v>13</v>
      </c>
      <c r="B1970" s="8" t="s">
        <v>10</v>
      </c>
      <c r="C1970" s="9" t="str">
        <f t="shared" si="40"/>
        <v>230114</v>
      </c>
      <c r="D1970" s="9" t="str">
        <f>"230900830"</f>
        <v>230900830</v>
      </c>
      <c r="E1970" s="10">
        <v>70.33</v>
      </c>
      <c r="F1970" s="10"/>
      <c r="G1970" s="10">
        <v>66</v>
      </c>
      <c r="H1970" s="10"/>
      <c r="I1970" s="10">
        <v>67.73</v>
      </c>
    </row>
    <row r="1971" spans="1:9" s="2" customFormat="1" ht="21.75" customHeight="1">
      <c r="A1971" s="8" t="s">
        <v>13</v>
      </c>
      <c r="B1971" s="8" t="s">
        <v>10</v>
      </c>
      <c r="C1971" s="9" t="str">
        <f t="shared" si="40"/>
        <v>230114</v>
      </c>
      <c r="D1971" s="9" t="str">
        <f>"230901111"</f>
        <v>230901111</v>
      </c>
      <c r="E1971" s="10">
        <v>71.23</v>
      </c>
      <c r="F1971" s="10"/>
      <c r="G1971" s="10">
        <v>65</v>
      </c>
      <c r="H1971" s="10"/>
      <c r="I1971" s="10">
        <v>67.489999999999995</v>
      </c>
    </row>
    <row r="1972" spans="1:9" s="2" customFormat="1" ht="21.75" customHeight="1">
      <c r="A1972" s="8" t="s">
        <v>13</v>
      </c>
      <c r="B1972" s="8" t="s">
        <v>10</v>
      </c>
      <c r="C1972" s="9" t="str">
        <f t="shared" si="40"/>
        <v>230114</v>
      </c>
      <c r="D1972" s="9" t="str">
        <f>"230900915"</f>
        <v>230900915</v>
      </c>
      <c r="E1972" s="10">
        <v>63.07</v>
      </c>
      <c r="F1972" s="10"/>
      <c r="G1972" s="10">
        <v>70</v>
      </c>
      <c r="H1972" s="10"/>
      <c r="I1972" s="10">
        <v>67.23</v>
      </c>
    </row>
    <row r="1973" spans="1:9" s="2" customFormat="1" ht="21.75" customHeight="1">
      <c r="A1973" s="8" t="s">
        <v>13</v>
      </c>
      <c r="B1973" s="8" t="s">
        <v>10</v>
      </c>
      <c r="C1973" s="9" t="str">
        <f t="shared" si="40"/>
        <v>230114</v>
      </c>
      <c r="D1973" s="9" t="str">
        <f>"230901403"</f>
        <v>230901403</v>
      </c>
      <c r="E1973" s="10">
        <v>67.56</v>
      </c>
      <c r="F1973" s="10"/>
      <c r="G1973" s="10">
        <v>67</v>
      </c>
      <c r="H1973" s="10"/>
      <c r="I1973" s="10">
        <v>67.22</v>
      </c>
    </row>
    <row r="1974" spans="1:9" s="3" customFormat="1" ht="21.75" customHeight="1">
      <c r="A1974" s="8" t="s">
        <v>13</v>
      </c>
      <c r="B1974" s="8" t="s">
        <v>10</v>
      </c>
      <c r="C1974" s="9" t="str">
        <f t="shared" si="40"/>
        <v>230114</v>
      </c>
      <c r="D1974" s="9" t="str">
        <f>"230901311"</f>
        <v>230901311</v>
      </c>
      <c r="E1974" s="10">
        <v>66.77</v>
      </c>
      <c r="F1974" s="10"/>
      <c r="G1974" s="10">
        <v>67.5</v>
      </c>
      <c r="H1974" s="10"/>
      <c r="I1974" s="10">
        <v>67.209999999999994</v>
      </c>
    </row>
    <row r="1975" spans="1:9" s="2" customFormat="1" ht="21.75" customHeight="1">
      <c r="A1975" s="8" t="s">
        <v>13</v>
      </c>
      <c r="B1975" s="8" t="s">
        <v>10</v>
      </c>
      <c r="C1975" s="9" t="str">
        <f t="shared" si="40"/>
        <v>230114</v>
      </c>
      <c r="D1975" s="9" t="str">
        <f>"230900927"</f>
        <v>230900927</v>
      </c>
      <c r="E1975" s="10">
        <v>69.75</v>
      </c>
      <c r="F1975" s="10"/>
      <c r="G1975" s="10">
        <v>65.5</v>
      </c>
      <c r="H1975" s="10"/>
      <c r="I1975" s="10">
        <v>67.2</v>
      </c>
    </row>
    <row r="1976" spans="1:9" s="2" customFormat="1" ht="21.75" customHeight="1">
      <c r="A1976" s="8" t="s">
        <v>13</v>
      </c>
      <c r="B1976" s="8" t="s">
        <v>10</v>
      </c>
      <c r="C1976" s="9" t="str">
        <f t="shared" si="40"/>
        <v>230114</v>
      </c>
      <c r="D1976" s="9" t="str">
        <f>"230901009"</f>
        <v>230901009</v>
      </c>
      <c r="E1976" s="10">
        <v>62.03</v>
      </c>
      <c r="F1976" s="10"/>
      <c r="G1976" s="10">
        <v>70.5</v>
      </c>
      <c r="H1976" s="10"/>
      <c r="I1976" s="10">
        <v>67.11</v>
      </c>
    </row>
    <row r="1977" spans="1:9" s="2" customFormat="1" ht="21.75" customHeight="1">
      <c r="A1977" s="8" t="s">
        <v>13</v>
      </c>
      <c r="B1977" s="8" t="s">
        <v>10</v>
      </c>
      <c r="C1977" s="9" t="str">
        <f t="shared" si="40"/>
        <v>230114</v>
      </c>
      <c r="D1977" s="9" t="str">
        <f>"230901420"</f>
        <v>230901420</v>
      </c>
      <c r="E1977" s="10">
        <v>67.22</v>
      </c>
      <c r="F1977" s="10"/>
      <c r="G1977" s="10">
        <v>67</v>
      </c>
      <c r="H1977" s="10"/>
      <c r="I1977" s="10">
        <v>67.09</v>
      </c>
    </row>
    <row r="1978" spans="1:9" s="3" customFormat="1" ht="21.75" customHeight="1">
      <c r="A1978" s="8" t="s">
        <v>13</v>
      </c>
      <c r="B1978" s="8" t="s">
        <v>10</v>
      </c>
      <c r="C1978" s="9" t="str">
        <f t="shared" si="40"/>
        <v>230114</v>
      </c>
      <c r="D1978" s="9" t="str">
        <f>"230901214"</f>
        <v>230901214</v>
      </c>
      <c r="E1978" s="10">
        <v>68.59</v>
      </c>
      <c r="F1978" s="10"/>
      <c r="G1978" s="10">
        <v>66</v>
      </c>
      <c r="H1978" s="10"/>
      <c r="I1978" s="10">
        <v>67.040000000000006</v>
      </c>
    </row>
    <row r="1979" spans="1:9" s="3" customFormat="1" ht="21.75" customHeight="1">
      <c r="A1979" s="8" t="s">
        <v>13</v>
      </c>
      <c r="B1979" s="8" t="s">
        <v>10</v>
      </c>
      <c r="C1979" s="9" t="str">
        <f t="shared" si="40"/>
        <v>230114</v>
      </c>
      <c r="D1979" s="9" t="str">
        <f>"230900606"</f>
        <v>230900606</v>
      </c>
      <c r="E1979" s="10">
        <v>67.91</v>
      </c>
      <c r="F1979" s="10"/>
      <c r="G1979" s="10">
        <v>66</v>
      </c>
      <c r="H1979" s="10"/>
      <c r="I1979" s="10">
        <v>66.760000000000005</v>
      </c>
    </row>
    <row r="1980" spans="1:9" s="3" customFormat="1" ht="21.75" customHeight="1">
      <c r="A1980" s="8" t="s">
        <v>13</v>
      </c>
      <c r="B1980" s="8" t="s">
        <v>10</v>
      </c>
      <c r="C1980" s="9" t="str">
        <f t="shared" si="40"/>
        <v>230114</v>
      </c>
      <c r="D1980" s="9" t="str">
        <f>"230901102"</f>
        <v>230901102</v>
      </c>
      <c r="E1980" s="10">
        <v>61.12</v>
      </c>
      <c r="F1980" s="10"/>
      <c r="G1980" s="10">
        <v>70.5</v>
      </c>
      <c r="H1980" s="10"/>
      <c r="I1980" s="10">
        <v>66.75</v>
      </c>
    </row>
    <row r="1981" spans="1:9" s="2" customFormat="1" ht="21.75" customHeight="1">
      <c r="A1981" s="8" t="s">
        <v>13</v>
      </c>
      <c r="B1981" s="8" t="s">
        <v>10</v>
      </c>
      <c r="C1981" s="9" t="str">
        <f t="shared" si="40"/>
        <v>230114</v>
      </c>
      <c r="D1981" s="9" t="str">
        <f>"230901708"</f>
        <v>230901708</v>
      </c>
      <c r="E1981" s="10">
        <v>66.290000000000006</v>
      </c>
      <c r="F1981" s="10"/>
      <c r="G1981" s="10">
        <v>67</v>
      </c>
      <c r="H1981" s="10"/>
      <c r="I1981" s="10">
        <v>66.72</v>
      </c>
    </row>
    <row r="1982" spans="1:9" s="3" customFormat="1" ht="21.75" customHeight="1">
      <c r="A1982" s="8" t="s">
        <v>13</v>
      </c>
      <c r="B1982" s="8" t="s">
        <v>10</v>
      </c>
      <c r="C1982" s="9" t="str">
        <f t="shared" si="40"/>
        <v>230114</v>
      </c>
      <c r="D1982" s="9" t="str">
        <f>"230901114"</f>
        <v>230901114</v>
      </c>
      <c r="E1982" s="10">
        <v>71.58</v>
      </c>
      <c r="F1982" s="10"/>
      <c r="G1982" s="10">
        <v>63</v>
      </c>
      <c r="H1982" s="10"/>
      <c r="I1982" s="10">
        <v>66.430000000000007</v>
      </c>
    </row>
    <row r="1983" spans="1:9" s="2" customFormat="1" ht="21.75" customHeight="1">
      <c r="A1983" s="8" t="s">
        <v>13</v>
      </c>
      <c r="B1983" s="8" t="s">
        <v>10</v>
      </c>
      <c r="C1983" s="9" t="str">
        <f t="shared" si="40"/>
        <v>230114</v>
      </c>
      <c r="D1983" s="9" t="str">
        <f>"230901508"</f>
        <v>230901508</v>
      </c>
      <c r="E1983" s="10">
        <v>68.47</v>
      </c>
      <c r="F1983" s="10"/>
      <c r="G1983" s="10">
        <v>65</v>
      </c>
      <c r="H1983" s="10"/>
      <c r="I1983" s="10">
        <v>66.39</v>
      </c>
    </row>
    <row r="1984" spans="1:9" s="3" customFormat="1" ht="21.75" customHeight="1">
      <c r="A1984" s="8" t="s">
        <v>13</v>
      </c>
      <c r="B1984" s="8" t="s">
        <v>10</v>
      </c>
      <c r="C1984" s="9" t="str">
        <f t="shared" si="40"/>
        <v>230114</v>
      </c>
      <c r="D1984" s="9" t="str">
        <f>"230901626"</f>
        <v>230901626</v>
      </c>
      <c r="E1984" s="10">
        <v>55.72</v>
      </c>
      <c r="F1984" s="10"/>
      <c r="G1984" s="10">
        <v>73.5</v>
      </c>
      <c r="H1984" s="10"/>
      <c r="I1984" s="10">
        <v>66.39</v>
      </c>
    </row>
    <row r="1985" spans="1:9" s="2" customFormat="1" ht="21.75" customHeight="1">
      <c r="A1985" s="8" t="s">
        <v>13</v>
      </c>
      <c r="B1985" s="8" t="s">
        <v>10</v>
      </c>
      <c r="C1985" s="9" t="str">
        <f t="shared" si="40"/>
        <v>230114</v>
      </c>
      <c r="D1985" s="9" t="str">
        <f>"230901202"</f>
        <v>230901202</v>
      </c>
      <c r="E1985" s="10">
        <v>62.38</v>
      </c>
      <c r="F1985" s="10"/>
      <c r="G1985" s="10">
        <v>69</v>
      </c>
      <c r="H1985" s="10"/>
      <c r="I1985" s="10">
        <v>66.349999999999994</v>
      </c>
    </row>
    <row r="1986" spans="1:9" s="3" customFormat="1" ht="21.75" customHeight="1">
      <c r="A1986" s="8" t="s">
        <v>13</v>
      </c>
      <c r="B1986" s="8" t="s">
        <v>10</v>
      </c>
      <c r="C1986" s="9" t="str">
        <f t="shared" si="40"/>
        <v>230114</v>
      </c>
      <c r="D1986" s="9" t="str">
        <f>"230901630"</f>
        <v>230901630</v>
      </c>
      <c r="E1986" s="10">
        <v>66.08</v>
      </c>
      <c r="F1986" s="10"/>
      <c r="G1986" s="10">
        <v>66.5</v>
      </c>
      <c r="H1986" s="10"/>
      <c r="I1986" s="10">
        <v>66.33</v>
      </c>
    </row>
    <row r="1987" spans="1:9" s="2" customFormat="1" ht="21.75" customHeight="1">
      <c r="A1987" s="8" t="s">
        <v>13</v>
      </c>
      <c r="B1987" s="8" t="s">
        <v>10</v>
      </c>
      <c r="C1987" s="9" t="str">
        <f t="shared" si="40"/>
        <v>230114</v>
      </c>
      <c r="D1987" s="9" t="str">
        <f>"230901002"</f>
        <v>230901002</v>
      </c>
      <c r="E1987" s="10">
        <v>67.55</v>
      </c>
      <c r="F1987" s="10"/>
      <c r="G1987" s="10">
        <v>65.5</v>
      </c>
      <c r="H1987" s="10"/>
      <c r="I1987" s="10">
        <v>66.319999999999993</v>
      </c>
    </row>
    <row r="1988" spans="1:9" s="2" customFormat="1" ht="21.75" customHeight="1">
      <c r="A1988" s="8" t="s">
        <v>13</v>
      </c>
      <c r="B1988" s="8" t="s">
        <v>10</v>
      </c>
      <c r="C1988" s="9" t="str">
        <f t="shared" si="40"/>
        <v>230114</v>
      </c>
      <c r="D1988" s="9" t="str">
        <f>"230901515"</f>
        <v>230901515</v>
      </c>
      <c r="E1988" s="10">
        <v>59.98</v>
      </c>
      <c r="F1988" s="10"/>
      <c r="G1988" s="10">
        <v>70.5</v>
      </c>
      <c r="H1988" s="10"/>
      <c r="I1988" s="10">
        <v>66.290000000000006</v>
      </c>
    </row>
    <row r="1989" spans="1:9" s="3" customFormat="1" ht="21.75" customHeight="1">
      <c r="A1989" s="8" t="s">
        <v>13</v>
      </c>
      <c r="B1989" s="8" t="s">
        <v>10</v>
      </c>
      <c r="C1989" s="9" t="str">
        <f t="shared" si="40"/>
        <v>230114</v>
      </c>
      <c r="D1989" s="9" t="str">
        <f>"230900906"</f>
        <v>230900906</v>
      </c>
      <c r="E1989" s="10">
        <v>60.57</v>
      </c>
      <c r="F1989" s="10"/>
      <c r="G1989" s="10">
        <v>70</v>
      </c>
      <c r="H1989" s="10"/>
      <c r="I1989" s="10">
        <v>66.23</v>
      </c>
    </row>
    <row r="1990" spans="1:9" s="2" customFormat="1" ht="21.75" customHeight="1">
      <c r="A1990" s="8" t="s">
        <v>13</v>
      </c>
      <c r="B1990" s="8" t="s">
        <v>10</v>
      </c>
      <c r="C1990" s="9" t="str">
        <f t="shared" si="40"/>
        <v>230114</v>
      </c>
      <c r="D1990" s="9" t="str">
        <f>"230900621"</f>
        <v>230900621</v>
      </c>
      <c r="E1990" s="10">
        <v>58.82</v>
      </c>
      <c r="F1990" s="10"/>
      <c r="G1990" s="10">
        <v>71</v>
      </c>
      <c r="H1990" s="10"/>
      <c r="I1990" s="10">
        <v>66.13</v>
      </c>
    </row>
    <row r="1991" spans="1:9" s="2" customFormat="1" ht="21.75" customHeight="1">
      <c r="A1991" s="8" t="s">
        <v>13</v>
      </c>
      <c r="B1991" s="8" t="s">
        <v>10</v>
      </c>
      <c r="C1991" s="9" t="str">
        <f t="shared" si="40"/>
        <v>230114</v>
      </c>
      <c r="D1991" s="9" t="str">
        <f>"230900930"</f>
        <v>230900930</v>
      </c>
      <c r="E1991" s="10">
        <v>61.79</v>
      </c>
      <c r="F1991" s="10"/>
      <c r="G1991" s="10">
        <v>69</v>
      </c>
      <c r="H1991" s="10"/>
      <c r="I1991" s="10">
        <v>66.12</v>
      </c>
    </row>
    <row r="1992" spans="1:9" s="3" customFormat="1" ht="21.75" customHeight="1">
      <c r="A1992" s="8" t="s">
        <v>13</v>
      </c>
      <c r="B1992" s="8" t="s">
        <v>10</v>
      </c>
      <c r="C1992" s="9" t="str">
        <f t="shared" si="40"/>
        <v>230114</v>
      </c>
      <c r="D1992" s="9" t="str">
        <f>"230901709"</f>
        <v>230901709</v>
      </c>
      <c r="E1992" s="10">
        <v>64</v>
      </c>
      <c r="F1992" s="10"/>
      <c r="G1992" s="10">
        <v>67.5</v>
      </c>
      <c r="H1992" s="10"/>
      <c r="I1992" s="10">
        <v>66.099999999999994</v>
      </c>
    </row>
    <row r="1993" spans="1:9" s="2" customFormat="1" ht="21.75" customHeight="1">
      <c r="A1993" s="8" t="s">
        <v>13</v>
      </c>
      <c r="B1993" s="8" t="s">
        <v>10</v>
      </c>
      <c r="C1993" s="9" t="str">
        <f t="shared" si="40"/>
        <v>230114</v>
      </c>
      <c r="D1993" s="9" t="str">
        <f>"230901418"</f>
        <v>230901418</v>
      </c>
      <c r="E1993" s="10">
        <v>71.03</v>
      </c>
      <c r="F1993" s="10"/>
      <c r="G1993" s="10">
        <v>62.5</v>
      </c>
      <c r="H1993" s="10"/>
      <c r="I1993" s="10">
        <v>65.91</v>
      </c>
    </row>
    <row r="1994" spans="1:9" s="2" customFormat="1" ht="21.75" customHeight="1">
      <c r="A1994" s="8" t="s">
        <v>13</v>
      </c>
      <c r="B1994" s="8" t="s">
        <v>10</v>
      </c>
      <c r="C1994" s="9" t="str">
        <f t="shared" si="40"/>
        <v>230114</v>
      </c>
      <c r="D1994" s="9" t="str">
        <f>"230900826"</f>
        <v>230900826</v>
      </c>
      <c r="E1994" s="10">
        <v>79.180000000000007</v>
      </c>
      <c r="F1994" s="10"/>
      <c r="G1994" s="10">
        <v>57</v>
      </c>
      <c r="H1994" s="10"/>
      <c r="I1994" s="10">
        <v>65.87</v>
      </c>
    </row>
    <row r="1995" spans="1:9" s="2" customFormat="1" ht="21.75" customHeight="1">
      <c r="A1995" s="8" t="s">
        <v>13</v>
      </c>
      <c r="B1995" s="8" t="s">
        <v>10</v>
      </c>
      <c r="C1995" s="9" t="str">
        <f t="shared" si="40"/>
        <v>230114</v>
      </c>
      <c r="D1995" s="9" t="str">
        <f>"230900728"</f>
        <v>230900728</v>
      </c>
      <c r="E1995" s="10">
        <v>65.94</v>
      </c>
      <c r="F1995" s="10"/>
      <c r="G1995" s="10">
        <v>65.5</v>
      </c>
      <c r="H1995" s="10"/>
      <c r="I1995" s="10">
        <v>65.680000000000007</v>
      </c>
    </row>
    <row r="1996" spans="1:9" s="2" customFormat="1" ht="21.75" customHeight="1">
      <c r="A1996" s="8" t="s">
        <v>13</v>
      </c>
      <c r="B1996" s="8" t="s">
        <v>10</v>
      </c>
      <c r="C1996" s="9" t="str">
        <f t="shared" si="40"/>
        <v>230114</v>
      </c>
      <c r="D1996" s="9" t="str">
        <f>"230901107"</f>
        <v>230901107</v>
      </c>
      <c r="E1996" s="10">
        <v>66.06</v>
      </c>
      <c r="F1996" s="10"/>
      <c r="G1996" s="10">
        <v>64.5</v>
      </c>
      <c r="H1996" s="10"/>
      <c r="I1996" s="10">
        <v>65.12</v>
      </c>
    </row>
    <row r="1997" spans="1:9" s="2" customFormat="1" ht="21.75" customHeight="1">
      <c r="A1997" s="8" t="s">
        <v>13</v>
      </c>
      <c r="B1997" s="8" t="s">
        <v>10</v>
      </c>
      <c r="C1997" s="9" t="str">
        <f t="shared" si="40"/>
        <v>230114</v>
      </c>
      <c r="D1997" s="9" t="str">
        <f>"230901329"</f>
        <v>230901329</v>
      </c>
      <c r="E1997" s="10">
        <v>62.95</v>
      </c>
      <c r="F1997" s="10"/>
      <c r="G1997" s="10">
        <v>66.5</v>
      </c>
      <c r="H1997" s="10"/>
      <c r="I1997" s="10">
        <v>65.08</v>
      </c>
    </row>
    <row r="1998" spans="1:9" s="2" customFormat="1" ht="21.75" customHeight="1">
      <c r="A1998" s="8" t="s">
        <v>13</v>
      </c>
      <c r="B1998" s="8" t="s">
        <v>10</v>
      </c>
      <c r="C1998" s="9" t="str">
        <f t="shared" si="40"/>
        <v>230114</v>
      </c>
      <c r="D1998" s="9" t="str">
        <f>"230900905"</f>
        <v>230900905</v>
      </c>
      <c r="E1998" s="10">
        <v>68.13</v>
      </c>
      <c r="F1998" s="10"/>
      <c r="G1998" s="10">
        <v>63</v>
      </c>
      <c r="H1998" s="10"/>
      <c r="I1998" s="10">
        <v>65.05</v>
      </c>
    </row>
    <row r="1999" spans="1:9" s="3" customFormat="1" ht="21.75" customHeight="1">
      <c r="A1999" s="8" t="s">
        <v>13</v>
      </c>
      <c r="B1999" s="8" t="s">
        <v>10</v>
      </c>
      <c r="C1999" s="9" t="str">
        <f t="shared" si="40"/>
        <v>230114</v>
      </c>
      <c r="D1999" s="9" t="str">
        <f>"230901310"</f>
        <v>230901310</v>
      </c>
      <c r="E1999" s="10">
        <v>61.22</v>
      </c>
      <c r="F1999" s="10"/>
      <c r="G1999" s="10">
        <v>67.5</v>
      </c>
      <c r="H1999" s="10"/>
      <c r="I1999" s="10">
        <v>64.989999999999995</v>
      </c>
    </row>
    <row r="2000" spans="1:9" s="2" customFormat="1" ht="21.75" customHeight="1">
      <c r="A2000" s="8" t="s">
        <v>13</v>
      </c>
      <c r="B2000" s="8" t="s">
        <v>10</v>
      </c>
      <c r="C2000" s="9" t="str">
        <f t="shared" si="40"/>
        <v>230114</v>
      </c>
      <c r="D2000" s="9" t="str">
        <f>"230900814"</f>
        <v>230900814</v>
      </c>
      <c r="E2000" s="10">
        <v>62.84</v>
      </c>
      <c r="F2000" s="10"/>
      <c r="G2000" s="10">
        <v>66</v>
      </c>
      <c r="H2000" s="10"/>
      <c r="I2000" s="10">
        <v>64.739999999999995</v>
      </c>
    </row>
    <row r="2001" spans="1:9" s="2" customFormat="1" ht="21.75" customHeight="1">
      <c r="A2001" s="8" t="s">
        <v>13</v>
      </c>
      <c r="B2001" s="8" t="s">
        <v>10</v>
      </c>
      <c r="C2001" s="9" t="str">
        <f t="shared" si="40"/>
        <v>230114</v>
      </c>
      <c r="D2001" s="9" t="str">
        <f>"230901029"</f>
        <v>230901029</v>
      </c>
      <c r="E2001" s="10">
        <v>73.319999999999993</v>
      </c>
      <c r="F2001" s="10"/>
      <c r="G2001" s="10">
        <v>59</v>
      </c>
      <c r="H2001" s="10"/>
      <c r="I2001" s="10">
        <v>64.73</v>
      </c>
    </row>
    <row r="2002" spans="1:9" s="2" customFormat="1" ht="21.75" customHeight="1">
      <c r="A2002" s="8" t="s">
        <v>13</v>
      </c>
      <c r="B2002" s="8" t="s">
        <v>10</v>
      </c>
      <c r="C2002" s="9" t="str">
        <f t="shared" si="40"/>
        <v>230114</v>
      </c>
      <c r="D2002" s="9" t="str">
        <f>"230901021"</f>
        <v>230901021</v>
      </c>
      <c r="E2002" s="10">
        <v>57.55</v>
      </c>
      <c r="F2002" s="10"/>
      <c r="G2002" s="10">
        <v>69.5</v>
      </c>
      <c r="H2002" s="10"/>
      <c r="I2002" s="10">
        <v>64.72</v>
      </c>
    </row>
    <row r="2003" spans="1:9" s="2" customFormat="1" ht="21.75" customHeight="1">
      <c r="A2003" s="8" t="s">
        <v>13</v>
      </c>
      <c r="B2003" s="8" t="s">
        <v>10</v>
      </c>
      <c r="C2003" s="9" t="str">
        <f t="shared" si="40"/>
        <v>230114</v>
      </c>
      <c r="D2003" s="9" t="str">
        <f>"230901707"</f>
        <v>230901707</v>
      </c>
      <c r="E2003" s="10">
        <v>61.7</v>
      </c>
      <c r="F2003" s="10"/>
      <c r="G2003" s="10">
        <v>66.5</v>
      </c>
      <c r="H2003" s="10"/>
      <c r="I2003" s="10">
        <v>64.58</v>
      </c>
    </row>
    <row r="2004" spans="1:9" s="2" customFormat="1" ht="21.75" customHeight="1">
      <c r="A2004" s="8" t="s">
        <v>13</v>
      </c>
      <c r="B2004" s="8" t="s">
        <v>10</v>
      </c>
      <c r="C2004" s="9" t="str">
        <f t="shared" si="40"/>
        <v>230114</v>
      </c>
      <c r="D2004" s="9" t="str">
        <f>"230900607"</f>
        <v>230900607</v>
      </c>
      <c r="E2004" s="10">
        <v>53.43</v>
      </c>
      <c r="F2004" s="10"/>
      <c r="G2004" s="10">
        <v>72</v>
      </c>
      <c r="H2004" s="10"/>
      <c r="I2004" s="10">
        <v>64.569999999999993</v>
      </c>
    </row>
    <row r="2005" spans="1:9" s="2" customFormat="1" ht="21.75" customHeight="1">
      <c r="A2005" s="8" t="s">
        <v>13</v>
      </c>
      <c r="B2005" s="8" t="s">
        <v>10</v>
      </c>
      <c r="C2005" s="9" t="str">
        <f t="shared" si="40"/>
        <v>230114</v>
      </c>
      <c r="D2005" s="9" t="str">
        <f>"230900811"</f>
        <v>230900811</v>
      </c>
      <c r="E2005" s="10">
        <v>65.95</v>
      </c>
      <c r="F2005" s="10"/>
      <c r="G2005" s="10">
        <v>63.5</v>
      </c>
      <c r="H2005" s="10"/>
      <c r="I2005" s="10">
        <v>64.48</v>
      </c>
    </row>
    <row r="2006" spans="1:9" s="2" customFormat="1" ht="21.75" customHeight="1">
      <c r="A2006" s="8" t="s">
        <v>13</v>
      </c>
      <c r="B2006" s="8" t="s">
        <v>10</v>
      </c>
      <c r="C2006" s="9" t="str">
        <f t="shared" si="40"/>
        <v>230114</v>
      </c>
      <c r="D2006" s="9" t="str">
        <f>"230900718"</f>
        <v>230900718</v>
      </c>
      <c r="E2006" s="10">
        <v>68.47</v>
      </c>
      <c r="F2006" s="10"/>
      <c r="G2006" s="10">
        <v>61</v>
      </c>
      <c r="H2006" s="10"/>
      <c r="I2006" s="10">
        <v>63.99</v>
      </c>
    </row>
    <row r="2007" spans="1:9" s="2" customFormat="1" ht="21.75" customHeight="1">
      <c r="A2007" s="8" t="s">
        <v>13</v>
      </c>
      <c r="B2007" s="8" t="s">
        <v>10</v>
      </c>
      <c r="C2007" s="9" t="str">
        <f t="shared" si="40"/>
        <v>230114</v>
      </c>
      <c r="D2007" s="9" t="str">
        <f>"230901301"</f>
        <v>230901301</v>
      </c>
      <c r="E2007" s="10">
        <v>59.36</v>
      </c>
      <c r="F2007" s="10"/>
      <c r="G2007" s="10">
        <v>67</v>
      </c>
      <c r="H2007" s="10"/>
      <c r="I2007" s="10">
        <v>63.94</v>
      </c>
    </row>
    <row r="2008" spans="1:9" s="3" customFormat="1" ht="21.75" customHeight="1">
      <c r="A2008" s="8" t="s">
        <v>13</v>
      </c>
      <c r="B2008" s="8" t="s">
        <v>10</v>
      </c>
      <c r="C2008" s="9" t="str">
        <f t="shared" si="40"/>
        <v>230114</v>
      </c>
      <c r="D2008" s="9" t="str">
        <f>"230901220"</f>
        <v>230901220</v>
      </c>
      <c r="E2008" s="10">
        <v>65.94</v>
      </c>
      <c r="F2008" s="10"/>
      <c r="G2008" s="10">
        <v>62.5</v>
      </c>
      <c r="H2008" s="10"/>
      <c r="I2008" s="10">
        <v>63.88</v>
      </c>
    </row>
    <row r="2009" spans="1:9" s="2" customFormat="1" ht="21.75" customHeight="1">
      <c r="A2009" s="8" t="s">
        <v>13</v>
      </c>
      <c r="B2009" s="8" t="s">
        <v>10</v>
      </c>
      <c r="C2009" s="9" t="str">
        <f t="shared" si="40"/>
        <v>230114</v>
      </c>
      <c r="D2009" s="9" t="str">
        <f>"230900924"</f>
        <v>230900924</v>
      </c>
      <c r="E2009" s="10">
        <v>68.7</v>
      </c>
      <c r="F2009" s="10"/>
      <c r="G2009" s="10">
        <v>60.5</v>
      </c>
      <c r="H2009" s="10"/>
      <c r="I2009" s="10">
        <v>63.78</v>
      </c>
    </row>
    <row r="2010" spans="1:9" s="3" customFormat="1" ht="21.75" customHeight="1">
      <c r="A2010" s="8" t="s">
        <v>13</v>
      </c>
      <c r="B2010" s="8" t="s">
        <v>10</v>
      </c>
      <c r="C2010" s="9" t="str">
        <f t="shared" si="40"/>
        <v>230114</v>
      </c>
      <c r="D2010" s="9" t="str">
        <f>"230901005"</f>
        <v>230901005</v>
      </c>
      <c r="E2010" s="10">
        <v>62.7</v>
      </c>
      <c r="F2010" s="10"/>
      <c r="G2010" s="10">
        <v>64.5</v>
      </c>
      <c r="H2010" s="10"/>
      <c r="I2010" s="10">
        <v>63.78</v>
      </c>
    </row>
    <row r="2011" spans="1:9" s="2" customFormat="1" ht="21.75" customHeight="1">
      <c r="A2011" s="8" t="s">
        <v>13</v>
      </c>
      <c r="B2011" s="8" t="s">
        <v>10</v>
      </c>
      <c r="C2011" s="9" t="str">
        <f t="shared" si="40"/>
        <v>230114</v>
      </c>
      <c r="D2011" s="9" t="str">
        <f>"230901023"</f>
        <v>230901023</v>
      </c>
      <c r="E2011" s="10">
        <v>67.58</v>
      </c>
      <c r="F2011" s="10"/>
      <c r="G2011" s="10">
        <v>61</v>
      </c>
      <c r="H2011" s="10"/>
      <c r="I2011" s="10">
        <v>63.63</v>
      </c>
    </row>
    <row r="2012" spans="1:9" s="2" customFormat="1" ht="21.75" customHeight="1">
      <c r="A2012" s="8" t="s">
        <v>13</v>
      </c>
      <c r="B2012" s="8" t="s">
        <v>10</v>
      </c>
      <c r="C2012" s="9" t="str">
        <f t="shared" si="40"/>
        <v>230114</v>
      </c>
      <c r="D2012" s="9" t="str">
        <f>"230901425"</f>
        <v>230901425</v>
      </c>
      <c r="E2012" s="10">
        <v>69.040000000000006</v>
      </c>
      <c r="F2012" s="10"/>
      <c r="G2012" s="10">
        <v>59.5</v>
      </c>
      <c r="H2012" s="10"/>
      <c r="I2012" s="10">
        <v>63.32</v>
      </c>
    </row>
    <row r="2013" spans="1:9" s="3" customFormat="1" ht="21.75" customHeight="1">
      <c r="A2013" s="8" t="s">
        <v>13</v>
      </c>
      <c r="B2013" s="8" t="s">
        <v>10</v>
      </c>
      <c r="C2013" s="9" t="str">
        <f t="shared" si="40"/>
        <v>230114</v>
      </c>
      <c r="D2013" s="9" t="str">
        <f>"230901122"</f>
        <v>230901122</v>
      </c>
      <c r="E2013" s="10">
        <v>62.73</v>
      </c>
      <c r="F2013" s="10"/>
      <c r="G2013" s="10">
        <v>63.5</v>
      </c>
      <c r="H2013" s="10"/>
      <c r="I2013" s="10">
        <v>63.19</v>
      </c>
    </row>
    <row r="2014" spans="1:9" s="3" customFormat="1" ht="21.75" customHeight="1">
      <c r="A2014" s="8" t="s">
        <v>13</v>
      </c>
      <c r="B2014" s="8" t="s">
        <v>10</v>
      </c>
      <c r="C2014" s="9" t="str">
        <f t="shared" si="40"/>
        <v>230114</v>
      </c>
      <c r="D2014" s="9" t="str">
        <f>"230901513"</f>
        <v>230901513</v>
      </c>
      <c r="E2014" s="10">
        <v>60.99</v>
      </c>
      <c r="F2014" s="10"/>
      <c r="G2014" s="10">
        <v>64.5</v>
      </c>
      <c r="H2014" s="10"/>
      <c r="I2014" s="10">
        <v>63.1</v>
      </c>
    </row>
    <row r="2015" spans="1:9" s="2" customFormat="1" ht="21.75" customHeight="1">
      <c r="A2015" s="8" t="s">
        <v>13</v>
      </c>
      <c r="B2015" s="8" t="s">
        <v>10</v>
      </c>
      <c r="C2015" s="9" t="str">
        <f t="shared" si="40"/>
        <v>230114</v>
      </c>
      <c r="D2015" s="9" t="str">
        <f>"230901018"</f>
        <v>230901018</v>
      </c>
      <c r="E2015" s="10">
        <v>55.74</v>
      </c>
      <c r="F2015" s="10"/>
      <c r="G2015" s="10">
        <v>66</v>
      </c>
      <c r="H2015" s="10"/>
      <c r="I2015" s="10">
        <v>61.9</v>
      </c>
    </row>
    <row r="2016" spans="1:9" s="3" customFormat="1" ht="21.75" customHeight="1">
      <c r="A2016" s="8" t="s">
        <v>13</v>
      </c>
      <c r="B2016" s="8" t="s">
        <v>10</v>
      </c>
      <c r="C2016" s="9" t="str">
        <f t="shared" si="40"/>
        <v>230114</v>
      </c>
      <c r="D2016" s="9" t="str">
        <f>"230901211"</f>
        <v>230901211</v>
      </c>
      <c r="E2016" s="10">
        <v>63.99</v>
      </c>
      <c r="F2016" s="10"/>
      <c r="G2016" s="10">
        <v>60.5</v>
      </c>
      <c r="H2016" s="10"/>
      <c r="I2016" s="10">
        <v>61.9</v>
      </c>
    </row>
    <row r="2017" spans="1:9" s="2" customFormat="1" ht="21.75" customHeight="1">
      <c r="A2017" s="8" t="s">
        <v>13</v>
      </c>
      <c r="B2017" s="8" t="s">
        <v>10</v>
      </c>
      <c r="C2017" s="9" t="str">
        <f t="shared" si="40"/>
        <v>230114</v>
      </c>
      <c r="D2017" s="9" t="str">
        <f>"230901303"</f>
        <v>230901303</v>
      </c>
      <c r="E2017" s="10">
        <v>57.32</v>
      </c>
      <c r="F2017" s="10"/>
      <c r="G2017" s="10">
        <v>63</v>
      </c>
      <c r="H2017" s="10"/>
      <c r="I2017" s="10">
        <v>60.73</v>
      </c>
    </row>
    <row r="2018" spans="1:9" s="3" customFormat="1" ht="21.75" customHeight="1">
      <c r="A2018" s="8" t="s">
        <v>13</v>
      </c>
      <c r="B2018" s="8" t="s">
        <v>10</v>
      </c>
      <c r="C2018" s="9" t="str">
        <f t="shared" si="40"/>
        <v>230114</v>
      </c>
      <c r="D2018" s="9" t="str">
        <f>"230901704"</f>
        <v>230901704</v>
      </c>
      <c r="E2018" s="10">
        <v>48.47</v>
      </c>
      <c r="F2018" s="10"/>
      <c r="G2018" s="10">
        <v>68</v>
      </c>
      <c r="H2018" s="10"/>
      <c r="I2018" s="10">
        <v>60.19</v>
      </c>
    </row>
    <row r="2019" spans="1:9" s="2" customFormat="1" ht="21.75" customHeight="1">
      <c r="A2019" s="8" t="s">
        <v>13</v>
      </c>
      <c r="B2019" s="8" t="s">
        <v>10</v>
      </c>
      <c r="C2019" s="9" t="str">
        <f t="shared" si="40"/>
        <v>230114</v>
      </c>
      <c r="D2019" s="9" t="str">
        <f>"230901614"</f>
        <v>230901614</v>
      </c>
      <c r="E2019" s="10">
        <v>51.81</v>
      </c>
      <c r="F2019" s="10"/>
      <c r="G2019" s="10">
        <v>65</v>
      </c>
      <c r="H2019" s="10"/>
      <c r="I2019" s="10">
        <v>59.72</v>
      </c>
    </row>
    <row r="2020" spans="1:9" s="2" customFormat="1" ht="21.75" customHeight="1">
      <c r="A2020" s="8" t="s">
        <v>13</v>
      </c>
      <c r="B2020" s="8" t="s">
        <v>10</v>
      </c>
      <c r="C2020" s="9" t="str">
        <f t="shared" si="40"/>
        <v>230114</v>
      </c>
      <c r="D2020" s="9" t="str">
        <f>"230901118"</f>
        <v>230901118</v>
      </c>
      <c r="E2020" s="10">
        <v>49.84</v>
      </c>
      <c r="F2020" s="10"/>
      <c r="G2020" s="10">
        <v>65.5</v>
      </c>
      <c r="H2020" s="10"/>
      <c r="I2020" s="10">
        <v>59.24</v>
      </c>
    </row>
    <row r="2021" spans="1:9" s="2" customFormat="1" ht="21.75" customHeight="1">
      <c r="A2021" s="8" t="s">
        <v>13</v>
      </c>
      <c r="B2021" s="8" t="s">
        <v>10</v>
      </c>
      <c r="C2021" s="9" t="str">
        <f t="shared" si="40"/>
        <v>230114</v>
      </c>
      <c r="D2021" s="9" t="str">
        <f>"230900914"</f>
        <v>230900914</v>
      </c>
      <c r="E2021" s="10">
        <v>65.709999999999994</v>
      </c>
      <c r="F2021" s="10"/>
      <c r="G2021" s="10">
        <v>51</v>
      </c>
      <c r="H2021" s="10"/>
      <c r="I2021" s="10">
        <v>56.88</v>
      </c>
    </row>
    <row r="2022" spans="1:9" s="2" customFormat="1" ht="21.75" customHeight="1">
      <c r="A2022" s="8" t="s">
        <v>13</v>
      </c>
      <c r="B2022" s="8" t="s">
        <v>10</v>
      </c>
      <c r="C2022" s="9" t="str">
        <f t="shared" si="40"/>
        <v>230114</v>
      </c>
      <c r="D2022" s="9" t="str">
        <f>"230900929"</f>
        <v>230900929</v>
      </c>
      <c r="E2022" s="10">
        <v>51.1</v>
      </c>
      <c r="F2022" s="10"/>
      <c r="G2022" s="10">
        <v>59</v>
      </c>
      <c r="H2022" s="10"/>
      <c r="I2022" s="10">
        <v>55.84</v>
      </c>
    </row>
    <row r="2023" spans="1:9" s="2" customFormat="1" ht="21.75" customHeight="1">
      <c r="A2023" s="8" t="s">
        <v>13</v>
      </c>
      <c r="B2023" s="8" t="s">
        <v>10</v>
      </c>
      <c r="C2023" s="9" t="str">
        <f t="shared" si="40"/>
        <v>230114</v>
      </c>
      <c r="D2023" s="9" t="str">
        <f>"230901003"</f>
        <v>230901003</v>
      </c>
      <c r="E2023" s="10">
        <v>49.84</v>
      </c>
      <c r="F2023" s="10"/>
      <c r="G2023" s="10">
        <v>52.5</v>
      </c>
      <c r="H2023" s="10"/>
      <c r="I2023" s="10">
        <v>51.44</v>
      </c>
    </row>
    <row r="2024" spans="1:9" s="2" customFormat="1" ht="21.75" customHeight="1">
      <c r="A2024" s="8" t="s">
        <v>13</v>
      </c>
      <c r="B2024" s="8" t="s">
        <v>10</v>
      </c>
      <c r="C2024" s="9" t="str">
        <f t="shared" si="40"/>
        <v>230114</v>
      </c>
      <c r="D2024" s="9" t="str">
        <f>"230900806"</f>
        <v>230900806</v>
      </c>
      <c r="E2024" s="10">
        <v>66.87</v>
      </c>
      <c r="F2024" s="10"/>
      <c r="G2024" s="10">
        <v>39.5</v>
      </c>
      <c r="H2024" s="10"/>
      <c r="I2024" s="10">
        <v>50.45</v>
      </c>
    </row>
    <row r="2025" spans="1:9" s="2" customFormat="1" ht="21.75" customHeight="1">
      <c r="A2025" s="8" t="s">
        <v>13</v>
      </c>
      <c r="B2025" s="8" t="s">
        <v>10</v>
      </c>
      <c r="C2025" s="9" t="str">
        <f t="shared" si="40"/>
        <v>230114</v>
      </c>
      <c r="D2025" s="9" t="str">
        <f>"230900530"</f>
        <v>230900530</v>
      </c>
      <c r="E2025" s="10">
        <v>0</v>
      </c>
      <c r="F2025" s="10"/>
      <c r="G2025" s="10">
        <v>0</v>
      </c>
      <c r="H2025" s="10"/>
      <c r="I2025" s="10">
        <v>0</v>
      </c>
    </row>
    <row r="2026" spans="1:9" s="2" customFormat="1" ht="21.75" customHeight="1">
      <c r="A2026" s="8" t="s">
        <v>13</v>
      </c>
      <c r="B2026" s="8" t="s">
        <v>10</v>
      </c>
      <c r="C2026" s="9" t="str">
        <f t="shared" si="40"/>
        <v>230114</v>
      </c>
      <c r="D2026" s="9" t="str">
        <f>"230900605"</f>
        <v>230900605</v>
      </c>
      <c r="E2026" s="10">
        <v>0</v>
      </c>
      <c r="F2026" s="10"/>
      <c r="G2026" s="10">
        <v>0</v>
      </c>
      <c r="H2026" s="10"/>
      <c r="I2026" s="10">
        <v>0</v>
      </c>
    </row>
    <row r="2027" spans="1:9" s="2" customFormat="1" ht="21.75" customHeight="1">
      <c r="A2027" s="8" t="s">
        <v>13</v>
      </c>
      <c r="B2027" s="8" t="s">
        <v>10</v>
      </c>
      <c r="C2027" s="9" t="str">
        <f t="shared" ref="C2027:C2090" si="41">"230114"</f>
        <v>230114</v>
      </c>
      <c r="D2027" s="9" t="str">
        <f>"230900609"</f>
        <v>230900609</v>
      </c>
      <c r="E2027" s="10">
        <v>0</v>
      </c>
      <c r="F2027" s="10"/>
      <c r="G2027" s="10">
        <v>0</v>
      </c>
      <c r="H2027" s="10"/>
      <c r="I2027" s="10">
        <v>0</v>
      </c>
    </row>
    <row r="2028" spans="1:9" s="2" customFormat="1" ht="21.75" customHeight="1">
      <c r="A2028" s="8" t="s">
        <v>13</v>
      </c>
      <c r="B2028" s="8" t="s">
        <v>10</v>
      </c>
      <c r="C2028" s="9" t="str">
        <f t="shared" si="41"/>
        <v>230114</v>
      </c>
      <c r="D2028" s="9" t="str">
        <f>"230900611"</f>
        <v>230900611</v>
      </c>
      <c r="E2028" s="10">
        <v>0</v>
      </c>
      <c r="F2028" s="10"/>
      <c r="G2028" s="10">
        <v>0</v>
      </c>
      <c r="H2028" s="10"/>
      <c r="I2028" s="10">
        <v>0</v>
      </c>
    </row>
    <row r="2029" spans="1:9" s="3" customFormat="1" ht="21.75" customHeight="1">
      <c r="A2029" s="8" t="s">
        <v>13</v>
      </c>
      <c r="B2029" s="8" t="s">
        <v>10</v>
      </c>
      <c r="C2029" s="9" t="str">
        <f t="shared" si="41"/>
        <v>230114</v>
      </c>
      <c r="D2029" s="9" t="str">
        <f>"230900612"</f>
        <v>230900612</v>
      </c>
      <c r="E2029" s="10">
        <v>0</v>
      </c>
      <c r="F2029" s="10"/>
      <c r="G2029" s="10">
        <v>0</v>
      </c>
      <c r="H2029" s="10"/>
      <c r="I2029" s="10">
        <v>0</v>
      </c>
    </row>
    <row r="2030" spans="1:9" s="3" customFormat="1" ht="21.75" customHeight="1">
      <c r="A2030" s="8" t="s">
        <v>13</v>
      </c>
      <c r="B2030" s="8" t="s">
        <v>10</v>
      </c>
      <c r="C2030" s="9" t="str">
        <f t="shared" si="41"/>
        <v>230114</v>
      </c>
      <c r="D2030" s="9" t="str">
        <f>"230900614"</f>
        <v>230900614</v>
      </c>
      <c r="E2030" s="10">
        <v>0</v>
      </c>
      <c r="F2030" s="10"/>
      <c r="G2030" s="10">
        <v>0</v>
      </c>
      <c r="H2030" s="10"/>
      <c r="I2030" s="10">
        <v>0</v>
      </c>
    </row>
    <row r="2031" spans="1:9" s="2" customFormat="1" ht="21.75" customHeight="1">
      <c r="A2031" s="8" t="s">
        <v>13</v>
      </c>
      <c r="B2031" s="8" t="s">
        <v>10</v>
      </c>
      <c r="C2031" s="9" t="str">
        <f t="shared" si="41"/>
        <v>230114</v>
      </c>
      <c r="D2031" s="9" t="str">
        <f>"230900618"</f>
        <v>230900618</v>
      </c>
      <c r="E2031" s="10">
        <v>0</v>
      </c>
      <c r="F2031" s="10"/>
      <c r="G2031" s="10">
        <v>0</v>
      </c>
      <c r="H2031" s="10"/>
      <c r="I2031" s="10">
        <v>0</v>
      </c>
    </row>
    <row r="2032" spans="1:9" s="3" customFormat="1" ht="21.75" customHeight="1">
      <c r="A2032" s="8" t="s">
        <v>13</v>
      </c>
      <c r="B2032" s="8" t="s">
        <v>10</v>
      </c>
      <c r="C2032" s="9" t="str">
        <f t="shared" si="41"/>
        <v>230114</v>
      </c>
      <c r="D2032" s="9" t="str">
        <f>"230900620"</f>
        <v>230900620</v>
      </c>
      <c r="E2032" s="10">
        <v>0</v>
      </c>
      <c r="F2032" s="10"/>
      <c r="G2032" s="10">
        <v>0</v>
      </c>
      <c r="H2032" s="10"/>
      <c r="I2032" s="10">
        <v>0</v>
      </c>
    </row>
    <row r="2033" spans="1:9" s="3" customFormat="1" ht="21.75" customHeight="1">
      <c r="A2033" s="8" t="s">
        <v>13</v>
      </c>
      <c r="B2033" s="8" t="s">
        <v>10</v>
      </c>
      <c r="C2033" s="9" t="str">
        <f t="shared" si="41"/>
        <v>230114</v>
      </c>
      <c r="D2033" s="9" t="str">
        <f>"230900623"</f>
        <v>230900623</v>
      </c>
      <c r="E2033" s="10">
        <v>0</v>
      </c>
      <c r="F2033" s="10"/>
      <c r="G2033" s="10">
        <v>0</v>
      </c>
      <c r="H2033" s="10"/>
      <c r="I2033" s="10">
        <v>0</v>
      </c>
    </row>
    <row r="2034" spans="1:9" s="3" customFormat="1" ht="21.75" customHeight="1">
      <c r="A2034" s="8" t="s">
        <v>13</v>
      </c>
      <c r="B2034" s="8" t="s">
        <v>10</v>
      </c>
      <c r="C2034" s="9" t="str">
        <f t="shared" si="41"/>
        <v>230114</v>
      </c>
      <c r="D2034" s="9" t="str">
        <f>"230900626"</f>
        <v>230900626</v>
      </c>
      <c r="E2034" s="10">
        <v>0</v>
      </c>
      <c r="F2034" s="10"/>
      <c r="G2034" s="10">
        <v>0</v>
      </c>
      <c r="H2034" s="10"/>
      <c r="I2034" s="10">
        <v>0</v>
      </c>
    </row>
    <row r="2035" spans="1:9" s="2" customFormat="1" ht="21.75" customHeight="1">
      <c r="A2035" s="8" t="s">
        <v>13</v>
      </c>
      <c r="B2035" s="8" t="s">
        <v>10</v>
      </c>
      <c r="C2035" s="9" t="str">
        <f t="shared" si="41"/>
        <v>230114</v>
      </c>
      <c r="D2035" s="9" t="str">
        <f>"230900630"</f>
        <v>230900630</v>
      </c>
      <c r="E2035" s="10">
        <v>0</v>
      </c>
      <c r="F2035" s="10"/>
      <c r="G2035" s="10">
        <v>0</v>
      </c>
      <c r="H2035" s="10"/>
      <c r="I2035" s="10">
        <v>0</v>
      </c>
    </row>
    <row r="2036" spans="1:9" s="2" customFormat="1" ht="21.75" customHeight="1">
      <c r="A2036" s="8" t="s">
        <v>13</v>
      </c>
      <c r="B2036" s="8" t="s">
        <v>10</v>
      </c>
      <c r="C2036" s="9" t="str">
        <f t="shared" si="41"/>
        <v>230114</v>
      </c>
      <c r="D2036" s="9" t="str">
        <f>"230900701"</f>
        <v>230900701</v>
      </c>
      <c r="E2036" s="10">
        <v>0</v>
      </c>
      <c r="F2036" s="10"/>
      <c r="G2036" s="10">
        <v>0</v>
      </c>
      <c r="H2036" s="10"/>
      <c r="I2036" s="10">
        <v>0</v>
      </c>
    </row>
    <row r="2037" spans="1:9" s="2" customFormat="1" ht="21.75" customHeight="1">
      <c r="A2037" s="8" t="s">
        <v>13</v>
      </c>
      <c r="B2037" s="8" t="s">
        <v>10</v>
      </c>
      <c r="C2037" s="9" t="str">
        <f t="shared" si="41"/>
        <v>230114</v>
      </c>
      <c r="D2037" s="9" t="str">
        <f>"230900702"</f>
        <v>230900702</v>
      </c>
      <c r="E2037" s="10">
        <v>0</v>
      </c>
      <c r="F2037" s="10"/>
      <c r="G2037" s="10">
        <v>0</v>
      </c>
      <c r="H2037" s="10"/>
      <c r="I2037" s="10">
        <v>0</v>
      </c>
    </row>
    <row r="2038" spans="1:9" s="2" customFormat="1" ht="21.75" customHeight="1">
      <c r="A2038" s="8" t="s">
        <v>13</v>
      </c>
      <c r="B2038" s="8" t="s">
        <v>10</v>
      </c>
      <c r="C2038" s="9" t="str">
        <f t="shared" si="41"/>
        <v>230114</v>
      </c>
      <c r="D2038" s="9" t="str">
        <f>"230900703"</f>
        <v>230900703</v>
      </c>
      <c r="E2038" s="10">
        <v>0</v>
      </c>
      <c r="F2038" s="10"/>
      <c r="G2038" s="10">
        <v>0</v>
      </c>
      <c r="H2038" s="10"/>
      <c r="I2038" s="10">
        <v>0</v>
      </c>
    </row>
    <row r="2039" spans="1:9" s="3" customFormat="1" ht="21.75" customHeight="1">
      <c r="A2039" s="8" t="s">
        <v>13</v>
      </c>
      <c r="B2039" s="8" t="s">
        <v>10</v>
      </c>
      <c r="C2039" s="9" t="str">
        <f t="shared" si="41"/>
        <v>230114</v>
      </c>
      <c r="D2039" s="9" t="str">
        <f>"230900706"</f>
        <v>230900706</v>
      </c>
      <c r="E2039" s="10">
        <v>0</v>
      </c>
      <c r="F2039" s="10"/>
      <c r="G2039" s="10">
        <v>0</v>
      </c>
      <c r="H2039" s="10"/>
      <c r="I2039" s="10">
        <v>0</v>
      </c>
    </row>
    <row r="2040" spans="1:9" s="2" customFormat="1" ht="21.75" customHeight="1">
      <c r="A2040" s="8" t="s">
        <v>13</v>
      </c>
      <c r="B2040" s="8" t="s">
        <v>10</v>
      </c>
      <c r="C2040" s="9" t="str">
        <f t="shared" si="41"/>
        <v>230114</v>
      </c>
      <c r="D2040" s="9" t="str">
        <f>"230900708"</f>
        <v>230900708</v>
      </c>
      <c r="E2040" s="10">
        <v>0</v>
      </c>
      <c r="F2040" s="10"/>
      <c r="G2040" s="10">
        <v>0</v>
      </c>
      <c r="H2040" s="10"/>
      <c r="I2040" s="10">
        <v>0</v>
      </c>
    </row>
    <row r="2041" spans="1:9" s="2" customFormat="1" ht="21.75" customHeight="1">
      <c r="A2041" s="8" t="s">
        <v>13</v>
      </c>
      <c r="B2041" s="8" t="s">
        <v>10</v>
      </c>
      <c r="C2041" s="9" t="str">
        <f t="shared" si="41"/>
        <v>230114</v>
      </c>
      <c r="D2041" s="9" t="str">
        <f>"230900712"</f>
        <v>230900712</v>
      </c>
      <c r="E2041" s="10">
        <v>0</v>
      </c>
      <c r="F2041" s="10"/>
      <c r="G2041" s="10">
        <v>0</v>
      </c>
      <c r="H2041" s="10"/>
      <c r="I2041" s="10">
        <v>0</v>
      </c>
    </row>
    <row r="2042" spans="1:9" s="3" customFormat="1" ht="21.75" customHeight="1">
      <c r="A2042" s="8" t="s">
        <v>13</v>
      </c>
      <c r="B2042" s="8" t="s">
        <v>10</v>
      </c>
      <c r="C2042" s="9" t="str">
        <f t="shared" si="41"/>
        <v>230114</v>
      </c>
      <c r="D2042" s="9" t="str">
        <f>"230900713"</f>
        <v>230900713</v>
      </c>
      <c r="E2042" s="10">
        <v>0</v>
      </c>
      <c r="F2042" s="10"/>
      <c r="G2042" s="10">
        <v>0</v>
      </c>
      <c r="H2042" s="10"/>
      <c r="I2042" s="10">
        <v>0</v>
      </c>
    </row>
    <row r="2043" spans="1:9" s="3" customFormat="1" ht="21.75" customHeight="1">
      <c r="A2043" s="8" t="s">
        <v>13</v>
      </c>
      <c r="B2043" s="8" t="s">
        <v>10</v>
      </c>
      <c r="C2043" s="9" t="str">
        <f t="shared" si="41"/>
        <v>230114</v>
      </c>
      <c r="D2043" s="9" t="str">
        <f>"230900715"</f>
        <v>230900715</v>
      </c>
      <c r="E2043" s="10">
        <v>0</v>
      </c>
      <c r="F2043" s="10"/>
      <c r="G2043" s="10">
        <v>0</v>
      </c>
      <c r="H2043" s="10"/>
      <c r="I2043" s="10">
        <v>0</v>
      </c>
    </row>
    <row r="2044" spans="1:9" s="2" customFormat="1" ht="21.75" customHeight="1">
      <c r="A2044" s="8" t="s">
        <v>13</v>
      </c>
      <c r="B2044" s="8" t="s">
        <v>10</v>
      </c>
      <c r="C2044" s="9" t="str">
        <f t="shared" si="41"/>
        <v>230114</v>
      </c>
      <c r="D2044" s="9" t="str">
        <f>"230900716"</f>
        <v>230900716</v>
      </c>
      <c r="E2044" s="10">
        <v>0</v>
      </c>
      <c r="F2044" s="10"/>
      <c r="G2044" s="10">
        <v>0</v>
      </c>
      <c r="H2044" s="10"/>
      <c r="I2044" s="10">
        <v>0</v>
      </c>
    </row>
    <row r="2045" spans="1:9" s="2" customFormat="1" ht="21.75" customHeight="1">
      <c r="A2045" s="8" t="s">
        <v>13</v>
      </c>
      <c r="B2045" s="8" t="s">
        <v>10</v>
      </c>
      <c r="C2045" s="9" t="str">
        <f t="shared" si="41"/>
        <v>230114</v>
      </c>
      <c r="D2045" s="9" t="str">
        <f>"230900726"</f>
        <v>230900726</v>
      </c>
      <c r="E2045" s="10">
        <v>0</v>
      </c>
      <c r="F2045" s="10"/>
      <c r="G2045" s="10">
        <v>0</v>
      </c>
      <c r="H2045" s="10"/>
      <c r="I2045" s="10">
        <v>0</v>
      </c>
    </row>
    <row r="2046" spans="1:9" s="3" customFormat="1" ht="21.75" customHeight="1">
      <c r="A2046" s="8" t="s">
        <v>13</v>
      </c>
      <c r="B2046" s="8" t="s">
        <v>10</v>
      </c>
      <c r="C2046" s="9" t="str">
        <f t="shared" si="41"/>
        <v>230114</v>
      </c>
      <c r="D2046" s="9" t="str">
        <f>"230900804"</f>
        <v>230900804</v>
      </c>
      <c r="E2046" s="10">
        <v>0</v>
      </c>
      <c r="F2046" s="10"/>
      <c r="G2046" s="10">
        <v>0</v>
      </c>
      <c r="H2046" s="10"/>
      <c r="I2046" s="10">
        <v>0</v>
      </c>
    </row>
    <row r="2047" spans="1:9" s="2" customFormat="1" ht="21.75" customHeight="1">
      <c r="A2047" s="8" t="s">
        <v>13</v>
      </c>
      <c r="B2047" s="8" t="s">
        <v>10</v>
      </c>
      <c r="C2047" s="9" t="str">
        <f t="shared" si="41"/>
        <v>230114</v>
      </c>
      <c r="D2047" s="9" t="str">
        <f>"230900809"</f>
        <v>230900809</v>
      </c>
      <c r="E2047" s="10">
        <v>0</v>
      </c>
      <c r="F2047" s="10"/>
      <c r="G2047" s="10">
        <v>0</v>
      </c>
      <c r="H2047" s="10"/>
      <c r="I2047" s="10">
        <v>0</v>
      </c>
    </row>
    <row r="2048" spans="1:9" s="3" customFormat="1" ht="21.75" customHeight="1">
      <c r="A2048" s="8" t="s">
        <v>13</v>
      </c>
      <c r="B2048" s="8" t="s">
        <v>10</v>
      </c>
      <c r="C2048" s="9" t="str">
        <f t="shared" si="41"/>
        <v>230114</v>
      </c>
      <c r="D2048" s="9" t="str">
        <f>"230900812"</f>
        <v>230900812</v>
      </c>
      <c r="E2048" s="10">
        <v>0</v>
      </c>
      <c r="F2048" s="10"/>
      <c r="G2048" s="10">
        <v>0</v>
      </c>
      <c r="H2048" s="10"/>
      <c r="I2048" s="10">
        <v>0</v>
      </c>
    </row>
    <row r="2049" spans="1:9" s="2" customFormat="1" ht="21.75" customHeight="1">
      <c r="A2049" s="8" t="s">
        <v>13</v>
      </c>
      <c r="B2049" s="8" t="s">
        <v>10</v>
      </c>
      <c r="C2049" s="9" t="str">
        <f t="shared" si="41"/>
        <v>230114</v>
      </c>
      <c r="D2049" s="9" t="str">
        <f>"230900828"</f>
        <v>230900828</v>
      </c>
      <c r="E2049" s="10">
        <v>0</v>
      </c>
      <c r="F2049" s="10"/>
      <c r="G2049" s="10">
        <v>0</v>
      </c>
      <c r="H2049" s="10"/>
      <c r="I2049" s="10">
        <v>0</v>
      </c>
    </row>
    <row r="2050" spans="1:9" s="2" customFormat="1" ht="21.75" customHeight="1">
      <c r="A2050" s="8" t="s">
        <v>13</v>
      </c>
      <c r="B2050" s="8" t="s">
        <v>10</v>
      </c>
      <c r="C2050" s="9" t="str">
        <f t="shared" si="41"/>
        <v>230114</v>
      </c>
      <c r="D2050" s="9" t="str">
        <f>"230900829"</f>
        <v>230900829</v>
      </c>
      <c r="E2050" s="10">
        <v>0</v>
      </c>
      <c r="F2050" s="10"/>
      <c r="G2050" s="10">
        <v>0</v>
      </c>
      <c r="H2050" s="10"/>
      <c r="I2050" s="10">
        <v>0</v>
      </c>
    </row>
    <row r="2051" spans="1:9" s="2" customFormat="1" ht="21.75" customHeight="1">
      <c r="A2051" s="8" t="s">
        <v>13</v>
      </c>
      <c r="B2051" s="8" t="s">
        <v>10</v>
      </c>
      <c r="C2051" s="9" t="str">
        <f t="shared" si="41"/>
        <v>230114</v>
      </c>
      <c r="D2051" s="9" t="str">
        <f>"230900908"</f>
        <v>230900908</v>
      </c>
      <c r="E2051" s="10">
        <v>0</v>
      </c>
      <c r="F2051" s="10"/>
      <c r="G2051" s="10">
        <v>0</v>
      </c>
      <c r="H2051" s="10"/>
      <c r="I2051" s="10">
        <v>0</v>
      </c>
    </row>
    <row r="2052" spans="1:9" s="2" customFormat="1" ht="21.75" customHeight="1">
      <c r="A2052" s="8" t="s">
        <v>13</v>
      </c>
      <c r="B2052" s="8" t="s">
        <v>10</v>
      </c>
      <c r="C2052" s="9" t="str">
        <f t="shared" si="41"/>
        <v>230114</v>
      </c>
      <c r="D2052" s="9" t="str">
        <f>"230900923"</f>
        <v>230900923</v>
      </c>
      <c r="E2052" s="10">
        <v>0</v>
      </c>
      <c r="F2052" s="10"/>
      <c r="G2052" s="10">
        <v>0</v>
      </c>
      <c r="H2052" s="10"/>
      <c r="I2052" s="10">
        <v>0</v>
      </c>
    </row>
    <row r="2053" spans="1:9" s="3" customFormat="1" ht="21.75" customHeight="1">
      <c r="A2053" s="8" t="s">
        <v>13</v>
      </c>
      <c r="B2053" s="8" t="s">
        <v>10</v>
      </c>
      <c r="C2053" s="9" t="str">
        <f t="shared" si="41"/>
        <v>230114</v>
      </c>
      <c r="D2053" s="9" t="str">
        <f>"230901001"</f>
        <v>230901001</v>
      </c>
      <c r="E2053" s="10">
        <v>0</v>
      </c>
      <c r="F2053" s="10"/>
      <c r="G2053" s="10">
        <v>0</v>
      </c>
      <c r="H2053" s="10"/>
      <c r="I2053" s="10">
        <v>0</v>
      </c>
    </row>
    <row r="2054" spans="1:9" s="2" customFormat="1" ht="21.75" customHeight="1">
      <c r="A2054" s="8" t="s">
        <v>13</v>
      </c>
      <c r="B2054" s="8" t="s">
        <v>10</v>
      </c>
      <c r="C2054" s="9" t="str">
        <f t="shared" si="41"/>
        <v>230114</v>
      </c>
      <c r="D2054" s="9" t="str">
        <f>"230901004"</f>
        <v>230901004</v>
      </c>
      <c r="E2054" s="10">
        <v>0</v>
      </c>
      <c r="F2054" s="10"/>
      <c r="G2054" s="10">
        <v>0</v>
      </c>
      <c r="H2054" s="10"/>
      <c r="I2054" s="10">
        <v>0</v>
      </c>
    </row>
    <row r="2055" spans="1:9" s="2" customFormat="1" ht="21.75" customHeight="1">
      <c r="A2055" s="8" t="s">
        <v>13</v>
      </c>
      <c r="B2055" s="8" t="s">
        <v>10</v>
      </c>
      <c r="C2055" s="9" t="str">
        <f t="shared" si="41"/>
        <v>230114</v>
      </c>
      <c r="D2055" s="9" t="str">
        <f>"230901012"</f>
        <v>230901012</v>
      </c>
      <c r="E2055" s="10">
        <v>0</v>
      </c>
      <c r="F2055" s="10"/>
      <c r="G2055" s="10">
        <v>0</v>
      </c>
      <c r="H2055" s="10"/>
      <c r="I2055" s="10">
        <v>0</v>
      </c>
    </row>
    <row r="2056" spans="1:9" s="2" customFormat="1" ht="21.75" customHeight="1">
      <c r="A2056" s="8" t="s">
        <v>13</v>
      </c>
      <c r="B2056" s="8" t="s">
        <v>10</v>
      </c>
      <c r="C2056" s="9" t="str">
        <f t="shared" si="41"/>
        <v>230114</v>
      </c>
      <c r="D2056" s="9" t="str">
        <f>"230901015"</f>
        <v>230901015</v>
      </c>
      <c r="E2056" s="10">
        <v>0</v>
      </c>
      <c r="F2056" s="10"/>
      <c r="G2056" s="10">
        <v>0</v>
      </c>
      <c r="H2056" s="10"/>
      <c r="I2056" s="10">
        <v>0</v>
      </c>
    </row>
    <row r="2057" spans="1:9" s="2" customFormat="1" ht="21.75" customHeight="1">
      <c r="A2057" s="8" t="s">
        <v>13</v>
      </c>
      <c r="B2057" s="8" t="s">
        <v>10</v>
      </c>
      <c r="C2057" s="9" t="str">
        <f t="shared" si="41"/>
        <v>230114</v>
      </c>
      <c r="D2057" s="9" t="str">
        <f>"230901027"</f>
        <v>230901027</v>
      </c>
      <c r="E2057" s="10">
        <v>0</v>
      </c>
      <c r="F2057" s="10"/>
      <c r="G2057" s="10">
        <v>0</v>
      </c>
      <c r="H2057" s="10"/>
      <c r="I2057" s="10">
        <v>0</v>
      </c>
    </row>
    <row r="2058" spans="1:9" s="2" customFormat="1" ht="21.75" customHeight="1">
      <c r="A2058" s="8" t="s">
        <v>13</v>
      </c>
      <c r="B2058" s="8" t="s">
        <v>10</v>
      </c>
      <c r="C2058" s="9" t="str">
        <f t="shared" si="41"/>
        <v>230114</v>
      </c>
      <c r="D2058" s="9" t="str">
        <f>"230901108"</f>
        <v>230901108</v>
      </c>
      <c r="E2058" s="10">
        <v>0</v>
      </c>
      <c r="F2058" s="10"/>
      <c r="G2058" s="10">
        <v>0</v>
      </c>
      <c r="H2058" s="10"/>
      <c r="I2058" s="10">
        <v>0</v>
      </c>
    </row>
    <row r="2059" spans="1:9" s="2" customFormat="1" ht="21.75" customHeight="1">
      <c r="A2059" s="8" t="s">
        <v>13</v>
      </c>
      <c r="B2059" s="8" t="s">
        <v>10</v>
      </c>
      <c r="C2059" s="9" t="str">
        <f t="shared" si="41"/>
        <v>230114</v>
      </c>
      <c r="D2059" s="9" t="str">
        <f>"230901112"</f>
        <v>230901112</v>
      </c>
      <c r="E2059" s="10">
        <v>0</v>
      </c>
      <c r="F2059" s="10"/>
      <c r="G2059" s="10">
        <v>0</v>
      </c>
      <c r="H2059" s="10"/>
      <c r="I2059" s="10">
        <v>0</v>
      </c>
    </row>
    <row r="2060" spans="1:9" s="3" customFormat="1" ht="21.75" customHeight="1">
      <c r="A2060" s="8" t="s">
        <v>13</v>
      </c>
      <c r="B2060" s="8" t="s">
        <v>10</v>
      </c>
      <c r="C2060" s="9" t="str">
        <f t="shared" si="41"/>
        <v>230114</v>
      </c>
      <c r="D2060" s="9" t="str">
        <f>"230901113"</f>
        <v>230901113</v>
      </c>
      <c r="E2060" s="10">
        <v>0</v>
      </c>
      <c r="F2060" s="10"/>
      <c r="G2060" s="10">
        <v>0</v>
      </c>
      <c r="H2060" s="10"/>
      <c r="I2060" s="10">
        <v>0</v>
      </c>
    </row>
    <row r="2061" spans="1:9" s="2" customFormat="1" ht="21.75" customHeight="1">
      <c r="A2061" s="8" t="s">
        <v>13</v>
      </c>
      <c r="B2061" s="8" t="s">
        <v>10</v>
      </c>
      <c r="C2061" s="9" t="str">
        <f t="shared" si="41"/>
        <v>230114</v>
      </c>
      <c r="D2061" s="9" t="str">
        <f>"230901115"</f>
        <v>230901115</v>
      </c>
      <c r="E2061" s="10">
        <v>0</v>
      </c>
      <c r="F2061" s="10"/>
      <c r="G2061" s="10">
        <v>0</v>
      </c>
      <c r="H2061" s="10"/>
      <c r="I2061" s="10">
        <v>0</v>
      </c>
    </row>
    <row r="2062" spans="1:9" s="2" customFormat="1" ht="21.75" customHeight="1">
      <c r="A2062" s="8" t="s">
        <v>13</v>
      </c>
      <c r="B2062" s="8" t="s">
        <v>10</v>
      </c>
      <c r="C2062" s="9" t="str">
        <f t="shared" si="41"/>
        <v>230114</v>
      </c>
      <c r="D2062" s="9" t="str">
        <f>"230901116"</f>
        <v>230901116</v>
      </c>
      <c r="E2062" s="10">
        <v>0</v>
      </c>
      <c r="F2062" s="10"/>
      <c r="G2062" s="10">
        <v>0</v>
      </c>
      <c r="H2062" s="10"/>
      <c r="I2062" s="10">
        <v>0</v>
      </c>
    </row>
    <row r="2063" spans="1:9" s="2" customFormat="1" ht="21.75" customHeight="1">
      <c r="A2063" s="8" t="s">
        <v>13</v>
      </c>
      <c r="B2063" s="8" t="s">
        <v>10</v>
      </c>
      <c r="C2063" s="9" t="str">
        <f t="shared" si="41"/>
        <v>230114</v>
      </c>
      <c r="D2063" s="9" t="str">
        <f>"230901130"</f>
        <v>230901130</v>
      </c>
      <c r="E2063" s="10">
        <v>0</v>
      </c>
      <c r="F2063" s="10"/>
      <c r="G2063" s="10">
        <v>0</v>
      </c>
      <c r="H2063" s="10"/>
      <c r="I2063" s="10">
        <v>0</v>
      </c>
    </row>
    <row r="2064" spans="1:9" s="2" customFormat="1" ht="21.75" customHeight="1">
      <c r="A2064" s="8" t="s">
        <v>13</v>
      </c>
      <c r="B2064" s="8" t="s">
        <v>10</v>
      </c>
      <c r="C2064" s="9" t="str">
        <f t="shared" si="41"/>
        <v>230114</v>
      </c>
      <c r="D2064" s="9" t="str">
        <f>"230901201"</f>
        <v>230901201</v>
      </c>
      <c r="E2064" s="10">
        <v>0</v>
      </c>
      <c r="F2064" s="10"/>
      <c r="G2064" s="10">
        <v>0</v>
      </c>
      <c r="H2064" s="10"/>
      <c r="I2064" s="10">
        <v>0</v>
      </c>
    </row>
    <row r="2065" spans="1:9" s="2" customFormat="1" ht="21.75" customHeight="1">
      <c r="A2065" s="8" t="s">
        <v>13</v>
      </c>
      <c r="B2065" s="8" t="s">
        <v>10</v>
      </c>
      <c r="C2065" s="9" t="str">
        <f t="shared" si="41"/>
        <v>230114</v>
      </c>
      <c r="D2065" s="9" t="str">
        <f>"230901206"</f>
        <v>230901206</v>
      </c>
      <c r="E2065" s="10">
        <v>0</v>
      </c>
      <c r="F2065" s="10"/>
      <c r="G2065" s="10">
        <v>0</v>
      </c>
      <c r="H2065" s="10"/>
      <c r="I2065" s="10">
        <v>0</v>
      </c>
    </row>
    <row r="2066" spans="1:9" s="2" customFormat="1" ht="21.75" customHeight="1">
      <c r="A2066" s="8" t="s">
        <v>13</v>
      </c>
      <c r="B2066" s="8" t="s">
        <v>10</v>
      </c>
      <c r="C2066" s="9" t="str">
        <f t="shared" si="41"/>
        <v>230114</v>
      </c>
      <c r="D2066" s="9" t="str">
        <f>"230901207"</f>
        <v>230901207</v>
      </c>
      <c r="E2066" s="10">
        <v>0</v>
      </c>
      <c r="F2066" s="10"/>
      <c r="G2066" s="10">
        <v>0</v>
      </c>
      <c r="H2066" s="10"/>
      <c r="I2066" s="10">
        <v>0</v>
      </c>
    </row>
    <row r="2067" spans="1:9" s="2" customFormat="1" ht="21.75" customHeight="1">
      <c r="A2067" s="8" t="s">
        <v>13</v>
      </c>
      <c r="B2067" s="8" t="s">
        <v>10</v>
      </c>
      <c r="C2067" s="9" t="str">
        <f t="shared" si="41"/>
        <v>230114</v>
      </c>
      <c r="D2067" s="9" t="str">
        <f>"230901208"</f>
        <v>230901208</v>
      </c>
      <c r="E2067" s="10">
        <v>0</v>
      </c>
      <c r="F2067" s="10"/>
      <c r="G2067" s="10">
        <v>0</v>
      </c>
      <c r="H2067" s="10"/>
      <c r="I2067" s="10">
        <v>0</v>
      </c>
    </row>
    <row r="2068" spans="1:9" s="2" customFormat="1" ht="21.75" customHeight="1">
      <c r="A2068" s="8" t="s">
        <v>13</v>
      </c>
      <c r="B2068" s="8" t="s">
        <v>10</v>
      </c>
      <c r="C2068" s="9" t="str">
        <f t="shared" si="41"/>
        <v>230114</v>
      </c>
      <c r="D2068" s="9" t="str">
        <f>"230901209"</f>
        <v>230901209</v>
      </c>
      <c r="E2068" s="10">
        <v>0</v>
      </c>
      <c r="F2068" s="10"/>
      <c r="G2068" s="10">
        <v>0</v>
      </c>
      <c r="H2068" s="10"/>
      <c r="I2068" s="10">
        <v>0</v>
      </c>
    </row>
    <row r="2069" spans="1:9" s="2" customFormat="1" ht="21.75" customHeight="1">
      <c r="A2069" s="8" t="s">
        <v>13</v>
      </c>
      <c r="B2069" s="8" t="s">
        <v>10</v>
      </c>
      <c r="C2069" s="9" t="str">
        <f t="shared" si="41"/>
        <v>230114</v>
      </c>
      <c r="D2069" s="9" t="str">
        <f>"230901212"</f>
        <v>230901212</v>
      </c>
      <c r="E2069" s="10">
        <v>0</v>
      </c>
      <c r="F2069" s="10"/>
      <c r="G2069" s="10">
        <v>0</v>
      </c>
      <c r="H2069" s="10"/>
      <c r="I2069" s="10">
        <v>0</v>
      </c>
    </row>
    <row r="2070" spans="1:9" s="2" customFormat="1" ht="21.75" customHeight="1">
      <c r="A2070" s="8" t="s">
        <v>13</v>
      </c>
      <c r="B2070" s="8" t="s">
        <v>10</v>
      </c>
      <c r="C2070" s="9" t="str">
        <f t="shared" si="41"/>
        <v>230114</v>
      </c>
      <c r="D2070" s="9" t="str">
        <f>"230901213"</f>
        <v>230901213</v>
      </c>
      <c r="E2070" s="10">
        <v>0</v>
      </c>
      <c r="F2070" s="10"/>
      <c r="G2070" s="10">
        <v>0</v>
      </c>
      <c r="H2070" s="10"/>
      <c r="I2070" s="10">
        <v>0</v>
      </c>
    </row>
    <row r="2071" spans="1:9" s="2" customFormat="1" ht="21.75" customHeight="1">
      <c r="A2071" s="8" t="s">
        <v>13</v>
      </c>
      <c r="B2071" s="8" t="s">
        <v>10</v>
      </c>
      <c r="C2071" s="9" t="str">
        <f t="shared" si="41"/>
        <v>230114</v>
      </c>
      <c r="D2071" s="9" t="str">
        <f>"230901219"</f>
        <v>230901219</v>
      </c>
      <c r="E2071" s="10">
        <v>0</v>
      </c>
      <c r="F2071" s="10"/>
      <c r="G2071" s="10">
        <v>0</v>
      </c>
      <c r="H2071" s="10"/>
      <c r="I2071" s="10">
        <v>0</v>
      </c>
    </row>
    <row r="2072" spans="1:9" s="2" customFormat="1" ht="21.75" customHeight="1">
      <c r="A2072" s="8" t="s">
        <v>13</v>
      </c>
      <c r="B2072" s="8" t="s">
        <v>10</v>
      </c>
      <c r="C2072" s="9" t="str">
        <f t="shared" si="41"/>
        <v>230114</v>
      </c>
      <c r="D2072" s="9" t="str">
        <f>"230901225"</f>
        <v>230901225</v>
      </c>
      <c r="E2072" s="10">
        <v>0</v>
      </c>
      <c r="F2072" s="10"/>
      <c r="G2072" s="10">
        <v>0</v>
      </c>
      <c r="H2072" s="10"/>
      <c r="I2072" s="10">
        <v>0</v>
      </c>
    </row>
    <row r="2073" spans="1:9" s="2" customFormat="1" ht="21.75" customHeight="1">
      <c r="A2073" s="8" t="s">
        <v>13</v>
      </c>
      <c r="B2073" s="8" t="s">
        <v>10</v>
      </c>
      <c r="C2073" s="9" t="str">
        <f t="shared" si="41"/>
        <v>230114</v>
      </c>
      <c r="D2073" s="9" t="str">
        <f>"230901308"</f>
        <v>230901308</v>
      </c>
      <c r="E2073" s="10">
        <v>0</v>
      </c>
      <c r="F2073" s="10"/>
      <c r="G2073" s="10">
        <v>0</v>
      </c>
      <c r="H2073" s="10"/>
      <c r="I2073" s="10">
        <v>0</v>
      </c>
    </row>
    <row r="2074" spans="1:9" s="3" customFormat="1" ht="21.75" customHeight="1">
      <c r="A2074" s="8" t="s">
        <v>13</v>
      </c>
      <c r="B2074" s="8" t="s">
        <v>10</v>
      </c>
      <c r="C2074" s="9" t="str">
        <f t="shared" si="41"/>
        <v>230114</v>
      </c>
      <c r="D2074" s="9" t="str">
        <f>"230901309"</f>
        <v>230901309</v>
      </c>
      <c r="E2074" s="10">
        <v>0</v>
      </c>
      <c r="F2074" s="10"/>
      <c r="G2074" s="10">
        <v>0</v>
      </c>
      <c r="H2074" s="10"/>
      <c r="I2074" s="10">
        <v>0</v>
      </c>
    </row>
    <row r="2075" spans="1:9" s="2" customFormat="1" ht="21.75" customHeight="1">
      <c r="A2075" s="8" t="s">
        <v>13</v>
      </c>
      <c r="B2075" s="8" t="s">
        <v>10</v>
      </c>
      <c r="C2075" s="9" t="str">
        <f t="shared" si="41"/>
        <v>230114</v>
      </c>
      <c r="D2075" s="9" t="str">
        <f>"230901313"</f>
        <v>230901313</v>
      </c>
      <c r="E2075" s="10">
        <v>0</v>
      </c>
      <c r="F2075" s="10"/>
      <c r="G2075" s="10">
        <v>0</v>
      </c>
      <c r="H2075" s="10"/>
      <c r="I2075" s="10">
        <v>0</v>
      </c>
    </row>
    <row r="2076" spans="1:9" s="2" customFormat="1" ht="21.75" customHeight="1">
      <c r="A2076" s="8" t="s">
        <v>13</v>
      </c>
      <c r="B2076" s="8" t="s">
        <v>10</v>
      </c>
      <c r="C2076" s="9" t="str">
        <f t="shared" si="41"/>
        <v>230114</v>
      </c>
      <c r="D2076" s="9" t="str">
        <f>"230901314"</f>
        <v>230901314</v>
      </c>
      <c r="E2076" s="10">
        <v>0</v>
      </c>
      <c r="F2076" s="10"/>
      <c r="G2076" s="10">
        <v>0</v>
      </c>
      <c r="H2076" s="10"/>
      <c r="I2076" s="10">
        <v>0</v>
      </c>
    </row>
    <row r="2077" spans="1:9" s="3" customFormat="1" ht="21.75" customHeight="1">
      <c r="A2077" s="8" t="s">
        <v>13</v>
      </c>
      <c r="B2077" s="8" t="s">
        <v>10</v>
      </c>
      <c r="C2077" s="9" t="str">
        <f t="shared" si="41"/>
        <v>230114</v>
      </c>
      <c r="D2077" s="9" t="str">
        <f>"230901318"</f>
        <v>230901318</v>
      </c>
      <c r="E2077" s="10">
        <v>0</v>
      </c>
      <c r="F2077" s="10"/>
      <c r="G2077" s="10">
        <v>0</v>
      </c>
      <c r="H2077" s="10"/>
      <c r="I2077" s="10">
        <v>0</v>
      </c>
    </row>
    <row r="2078" spans="1:9" s="2" customFormat="1" ht="21.75" customHeight="1">
      <c r="A2078" s="8" t="s">
        <v>13</v>
      </c>
      <c r="B2078" s="8" t="s">
        <v>10</v>
      </c>
      <c r="C2078" s="9" t="str">
        <f t="shared" si="41"/>
        <v>230114</v>
      </c>
      <c r="D2078" s="9" t="str">
        <f>"230901320"</f>
        <v>230901320</v>
      </c>
      <c r="E2078" s="10">
        <v>0</v>
      </c>
      <c r="F2078" s="10"/>
      <c r="G2078" s="10">
        <v>0</v>
      </c>
      <c r="H2078" s="10"/>
      <c r="I2078" s="10">
        <v>0</v>
      </c>
    </row>
    <row r="2079" spans="1:9" s="3" customFormat="1" ht="21.75" customHeight="1">
      <c r="A2079" s="8" t="s">
        <v>13</v>
      </c>
      <c r="B2079" s="8" t="s">
        <v>10</v>
      </c>
      <c r="C2079" s="9" t="str">
        <f t="shared" si="41"/>
        <v>230114</v>
      </c>
      <c r="D2079" s="9" t="str">
        <f>"230901321"</f>
        <v>230901321</v>
      </c>
      <c r="E2079" s="10">
        <v>0</v>
      </c>
      <c r="F2079" s="10"/>
      <c r="G2079" s="10">
        <v>0</v>
      </c>
      <c r="H2079" s="10"/>
      <c r="I2079" s="10">
        <v>0</v>
      </c>
    </row>
    <row r="2080" spans="1:9" s="2" customFormat="1" ht="21.75" customHeight="1">
      <c r="A2080" s="8" t="s">
        <v>13</v>
      </c>
      <c r="B2080" s="8" t="s">
        <v>10</v>
      </c>
      <c r="C2080" s="9" t="str">
        <f t="shared" si="41"/>
        <v>230114</v>
      </c>
      <c r="D2080" s="9" t="str">
        <f>"230901323"</f>
        <v>230901323</v>
      </c>
      <c r="E2080" s="10">
        <v>0</v>
      </c>
      <c r="F2080" s="10"/>
      <c r="G2080" s="10">
        <v>0</v>
      </c>
      <c r="H2080" s="10"/>
      <c r="I2080" s="10">
        <v>0</v>
      </c>
    </row>
    <row r="2081" spans="1:9" s="2" customFormat="1" ht="21.75" customHeight="1">
      <c r="A2081" s="8" t="s">
        <v>13</v>
      </c>
      <c r="B2081" s="8" t="s">
        <v>10</v>
      </c>
      <c r="C2081" s="9" t="str">
        <f t="shared" si="41"/>
        <v>230114</v>
      </c>
      <c r="D2081" s="9" t="str">
        <f>"230901324"</f>
        <v>230901324</v>
      </c>
      <c r="E2081" s="10">
        <v>0</v>
      </c>
      <c r="F2081" s="10"/>
      <c r="G2081" s="10">
        <v>0</v>
      </c>
      <c r="H2081" s="10"/>
      <c r="I2081" s="10">
        <v>0</v>
      </c>
    </row>
    <row r="2082" spans="1:9" s="3" customFormat="1" ht="21.75" customHeight="1">
      <c r="A2082" s="8" t="s">
        <v>13</v>
      </c>
      <c r="B2082" s="8" t="s">
        <v>10</v>
      </c>
      <c r="C2082" s="9" t="str">
        <f t="shared" si="41"/>
        <v>230114</v>
      </c>
      <c r="D2082" s="9" t="str">
        <f>"230901325"</f>
        <v>230901325</v>
      </c>
      <c r="E2082" s="10">
        <v>0</v>
      </c>
      <c r="F2082" s="10"/>
      <c r="G2082" s="10">
        <v>0</v>
      </c>
      <c r="H2082" s="10"/>
      <c r="I2082" s="10">
        <v>0</v>
      </c>
    </row>
    <row r="2083" spans="1:9" s="2" customFormat="1" ht="21.75" customHeight="1">
      <c r="A2083" s="8" t="s">
        <v>13</v>
      </c>
      <c r="B2083" s="8" t="s">
        <v>10</v>
      </c>
      <c r="C2083" s="9" t="str">
        <f t="shared" si="41"/>
        <v>230114</v>
      </c>
      <c r="D2083" s="9" t="str">
        <f>"230901327"</f>
        <v>230901327</v>
      </c>
      <c r="E2083" s="10">
        <v>0</v>
      </c>
      <c r="F2083" s="10"/>
      <c r="G2083" s="10">
        <v>0</v>
      </c>
      <c r="H2083" s="10"/>
      <c r="I2083" s="10">
        <v>0</v>
      </c>
    </row>
    <row r="2084" spans="1:9" s="2" customFormat="1" ht="21.75" customHeight="1">
      <c r="A2084" s="8" t="s">
        <v>13</v>
      </c>
      <c r="B2084" s="8" t="s">
        <v>10</v>
      </c>
      <c r="C2084" s="9" t="str">
        <f t="shared" si="41"/>
        <v>230114</v>
      </c>
      <c r="D2084" s="9" t="str">
        <f>"230901406"</f>
        <v>230901406</v>
      </c>
      <c r="E2084" s="10">
        <v>0</v>
      </c>
      <c r="F2084" s="10"/>
      <c r="G2084" s="10">
        <v>0</v>
      </c>
      <c r="H2084" s="10"/>
      <c r="I2084" s="10">
        <v>0</v>
      </c>
    </row>
    <row r="2085" spans="1:9" s="2" customFormat="1" ht="21.75" customHeight="1">
      <c r="A2085" s="8" t="s">
        <v>13</v>
      </c>
      <c r="B2085" s="8" t="s">
        <v>10</v>
      </c>
      <c r="C2085" s="9" t="str">
        <f t="shared" si="41"/>
        <v>230114</v>
      </c>
      <c r="D2085" s="9" t="str">
        <f>"230901407"</f>
        <v>230901407</v>
      </c>
      <c r="E2085" s="10">
        <v>0</v>
      </c>
      <c r="F2085" s="10"/>
      <c r="G2085" s="10">
        <v>0</v>
      </c>
      <c r="H2085" s="10"/>
      <c r="I2085" s="10">
        <v>0</v>
      </c>
    </row>
    <row r="2086" spans="1:9" s="3" customFormat="1" ht="21.75" customHeight="1">
      <c r="A2086" s="8" t="s">
        <v>13</v>
      </c>
      <c r="B2086" s="8" t="s">
        <v>10</v>
      </c>
      <c r="C2086" s="9" t="str">
        <f t="shared" si="41"/>
        <v>230114</v>
      </c>
      <c r="D2086" s="9" t="str">
        <f>"230901408"</f>
        <v>230901408</v>
      </c>
      <c r="E2086" s="10">
        <v>0</v>
      </c>
      <c r="F2086" s="10"/>
      <c r="G2086" s="10">
        <v>0</v>
      </c>
      <c r="H2086" s="10"/>
      <c r="I2086" s="10">
        <v>0</v>
      </c>
    </row>
    <row r="2087" spans="1:9" s="2" customFormat="1" ht="21.75" customHeight="1">
      <c r="A2087" s="8" t="s">
        <v>13</v>
      </c>
      <c r="B2087" s="8" t="s">
        <v>10</v>
      </c>
      <c r="C2087" s="9" t="str">
        <f t="shared" si="41"/>
        <v>230114</v>
      </c>
      <c r="D2087" s="9" t="str">
        <f>"230901410"</f>
        <v>230901410</v>
      </c>
      <c r="E2087" s="10">
        <v>0</v>
      </c>
      <c r="F2087" s="10"/>
      <c r="G2087" s="10">
        <v>0</v>
      </c>
      <c r="H2087" s="10"/>
      <c r="I2087" s="10">
        <v>0</v>
      </c>
    </row>
    <row r="2088" spans="1:9" s="2" customFormat="1" ht="21.75" customHeight="1">
      <c r="A2088" s="8" t="s">
        <v>13</v>
      </c>
      <c r="B2088" s="8" t="s">
        <v>10</v>
      </c>
      <c r="C2088" s="9" t="str">
        <f t="shared" si="41"/>
        <v>230114</v>
      </c>
      <c r="D2088" s="9" t="str">
        <f>"230901414"</f>
        <v>230901414</v>
      </c>
      <c r="E2088" s="10">
        <v>0</v>
      </c>
      <c r="F2088" s="10"/>
      <c r="G2088" s="10">
        <v>0</v>
      </c>
      <c r="H2088" s="10"/>
      <c r="I2088" s="10">
        <v>0</v>
      </c>
    </row>
    <row r="2089" spans="1:9" s="3" customFormat="1" ht="21.75" customHeight="1">
      <c r="A2089" s="8" t="s">
        <v>13</v>
      </c>
      <c r="B2089" s="8" t="s">
        <v>10</v>
      </c>
      <c r="C2089" s="9" t="str">
        <f t="shared" si="41"/>
        <v>230114</v>
      </c>
      <c r="D2089" s="9" t="str">
        <f>"230901415"</f>
        <v>230901415</v>
      </c>
      <c r="E2089" s="10">
        <v>0</v>
      </c>
      <c r="F2089" s="10"/>
      <c r="G2089" s="10">
        <v>0</v>
      </c>
      <c r="H2089" s="10"/>
      <c r="I2089" s="10">
        <v>0</v>
      </c>
    </row>
    <row r="2090" spans="1:9" s="3" customFormat="1" ht="21.75" customHeight="1">
      <c r="A2090" s="8" t="s">
        <v>13</v>
      </c>
      <c r="B2090" s="8" t="s">
        <v>10</v>
      </c>
      <c r="C2090" s="9" t="str">
        <f t="shared" si="41"/>
        <v>230114</v>
      </c>
      <c r="D2090" s="9" t="str">
        <f>"230901416"</f>
        <v>230901416</v>
      </c>
      <c r="E2090" s="10">
        <v>0</v>
      </c>
      <c r="F2090" s="10"/>
      <c r="G2090" s="10">
        <v>0</v>
      </c>
      <c r="H2090" s="10"/>
      <c r="I2090" s="10">
        <v>0</v>
      </c>
    </row>
    <row r="2091" spans="1:9" s="2" customFormat="1" ht="21.75" customHeight="1">
      <c r="A2091" s="8" t="s">
        <v>13</v>
      </c>
      <c r="B2091" s="8" t="s">
        <v>10</v>
      </c>
      <c r="C2091" s="9" t="str">
        <f t="shared" ref="C2091:C2118" si="42">"230114"</f>
        <v>230114</v>
      </c>
      <c r="D2091" s="9" t="str">
        <f>"230901417"</f>
        <v>230901417</v>
      </c>
      <c r="E2091" s="10">
        <v>0</v>
      </c>
      <c r="F2091" s="10"/>
      <c r="G2091" s="10">
        <v>0</v>
      </c>
      <c r="H2091" s="10"/>
      <c r="I2091" s="10">
        <v>0</v>
      </c>
    </row>
    <row r="2092" spans="1:9" s="3" customFormat="1" ht="21.75" customHeight="1">
      <c r="A2092" s="8" t="s">
        <v>13</v>
      </c>
      <c r="B2092" s="8" t="s">
        <v>10</v>
      </c>
      <c r="C2092" s="9" t="str">
        <f t="shared" si="42"/>
        <v>230114</v>
      </c>
      <c r="D2092" s="9" t="str">
        <f>"230901423"</f>
        <v>230901423</v>
      </c>
      <c r="E2092" s="10">
        <v>0</v>
      </c>
      <c r="F2092" s="10"/>
      <c r="G2092" s="10">
        <v>0</v>
      </c>
      <c r="H2092" s="10"/>
      <c r="I2092" s="10">
        <v>0</v>
      </c>
    </row>
    <row r="2093" spans="1:9" s="3" customFormat="1" ht="21.75" customHeight="1">
      <c r="A2093" s="8" t="s">
        <v>13</v>
      </c>
      <c r="B2093" s="8" t="s">
        <v>10</v>
      </c>
      <c r="C2093" s="9" t="str">
        <f t="shared" si="42"/>
        <v>230114</v>
      </c>
      <c r="D2093" s="9" t="str">
        <f>"230901426"</f>
        <v>230901426</v>
      </c>
      <c r="E2093" s="10">
        <v>0</v>
      </c>
      <c r="F2093" s="10"/>
      <c r="G2093" s="10">
        <v>0</v>
      </c>
      <c r="H2093" s="10"/>
      <c r="I2093" s="10">
        <v>0</v>
      </c>
    </row>
    <row r="2094" spans="1:9" s="2" customFormat="1" ht="21.75" customHeight="1">
      <c r="A2094" s="8" t="s">
        <v>13</v>
      </c>
      <c r="B2094" s="8" t="s">
        <v>10</v>
      </c>
      <c r="C2094" s="9" t="str">
        <f t="shared" si="42"/>
        <v>230114</v>
      </c>
      <c r="D2094" s="9" t="str">
        <f>"230901429"</f>
        <v>230901429</v>
      </c>
      <c r="E2094" s="10">
        <v>0</v>
      </c>
      <c r="F2094" s="10"/>
      <c r="G2094" s="10">
        <v>0</v>
      </c>
      <c r="H2094" s="10"/>
      <c r="I2094" s="10">
        <v>0</v>
      </c>
    </row>
    <row r="2095" spans="1:9" s="3" customFormat="1" ht="21.75" customHeight="1">
      <c r="A2095" s="8" t="s">
        <v>13</v>
      </c>
      <c r="B2095" s="8" t="s">
        <v>10</v>
      </c>
      <c r="C2095" s="9" t="str">
        <f t="shared" si="42"/>
        <v>230114</v>
      </c>
      <c r="D2095" s="9" t="str">
        <f>"230901501"</f>
        <v>230901501</v>
      </c>
      <c r="E2095" s="10">
        <v>0</v>
      </c>
      <c r="F2095" s="10"/>
      <c r="G2095" s="10">
        <v>0</v>
      </c>
      <c r="H2095" s="10"/>
      <c r="I2095" s="10">
        <v>0</v>
      </c>
    </row>
    <row r="2096" spans="1:9" s="3" customFormat="1" ht="21.75" customHeight="1">
      <c r="A2096" s="8" t="s">
        <v>13</v>
      </c>
      <c r="B2096" s="8" t="s">
        <v>10</v>
      </c>
      <c r="C2096" s="9" t="str">
        <f t="shared" si="42"/>
        <v>230114</v>
      </c>
      <c r="D2096" s="9" t="str">
        <f>"230901502"</f>
        <v>230901502</v>
      </c>
      <c r="E2096" s="10">
        <v>0</v>
      </c>
      <c r="F2096" s="10"/>
      <c r="G2096" s="10">
        <v>0</v>
      </c>
      <c r="H2096" s="10"/>
      <c r="I2096" s="10">
        <v>0</v>
      </c>
    </row>
    <row r="2097" spans="1:9" s="3" customFormat="1" ht="21.75" customHeight="1">
      <c r="A2097" s="8" t="s">
        <v>13</v>
      </c>
      <c r="B2097" s="8" t="s">
        <v>10</v>
      </c>
      <c r="C2097" s="9" t="str">
        <f t="shared" si="42"/>
        <v>230114</v>
      </c>
      <c r="D2097" s="9" t="str">
        <f>"230901510"</f>
        <v>230901510</v>
      </c>
      <c r="E2097" s="10">
        <v>0</v>
      </c>
      <c r="F2097" s="10"/>
      <c r="G2097" s="10">
        <v>0</v>
      </c>
      <c r="H2097" s="10"/>
      <c r="I2097" s="10">
        <v>0</v>
      </c>
    </row>
    <row r="2098" spans="1:9" s="2" customFormat="1" ht="21.75" customHeight="1">
      <c r="A2098" s="8" t="s">
        <v>13</v>
      </c>
      <c r="B2098" s="8" t="s">
        <v>10</v>
      </c>
      <c r="C2098" s="9" t="str">
        <f t="shared" si="42"/>
        <v>230114</v>
      </c>
      <c r="D2098" s="9" t="str">
        <f>"230901511"</f>
        <v>230901511</v>
      </c>
      <c r="E2098" s="10">
        <v>0</v>
      </c>
      <c r="F2098" s="10"/>
      <c r="G2098" s="10">
        <v>0</v>
      </c>
      <c r="H2098" s="10"/>
      <c r="I2098" s="10">
        <v>0</v>
      </c>
    </row>
    <row r="2099" spans="1:9" s="2" customFormat="1" ht="21.75" customHeight="1">
      <c r="A2099" s="8" t="s">
        <v>13</v>
      </c>
      <c r="B2099" s="8" t="s">
        <v>10</v>
      </c>
      <c r="C2099" s="9" t="str">
        <f t="shared" si="42"/>
        <v>230114</v>
      </c>
      <c r="D2099" s="9" t="str">
        <f>"230901518"</f>
        <v>230901518</v>
      </c>
      <c r="E2099" s="10">
        <v>0</v>
      </c>
      <c r="F2099" s="10"/>
      <c r="G2099" s="10">
        <v>0</v>
      </c>
      <c r="H2099" s="10"/>
      <c r="I2099" s="10">
        <v>0</v>
      </c>
    </row>
    <row r="2100" spans="1:9" s="2" customFormat="1" ht="21.75" customHeight="1">
      <c r="A2100" s="8" t="s">
        <v>13</v>
      </c>
      <c r="B2100" s="8" t="s">
        <v>10</v>
      </c>
      <c r="C2100" s="9" t="str">
        <f t="shared" si="42"/>
        <v>230114</v>
      </c>
      <c r="D2100" s="9" t="str">
        <f>"230901520"</f>
        <v>230901520</v>
      </c>
      <c r="E2100" s="10">
        <v>0</v>
      </c>
      <c r="F2100" s="10"/>
      <c r="G2100" s="10">
        <v>0</v>
      </c>
      <c r="H2100" s="10"/>
      <c r="I2100" s="10">
        <v>0</v>
      </c>
    </row>
    <row r="2101" spans="1:9" s="2" customFormat="1" ht="21.75" customHeight="1">
      <c r="A2101" s="8" t="s">
        <v>13</v>
      </c>
      <c r="B2101" s="8" t="s">
        <v>10</v>
      </c>
      <c r="C2101" s="9" t="str">
        <f t="shared" si="42"/>
        <v>230114</v>
      </c>
      <c r="D2101" s="9" t="str">
        <f>"230901521"</f>
        <v>230901521</v>
      </c>
      <c r="E2101" s="10">
        <v>0</v>
      </c>
      <c r="F2101" s="10"/>
      <c r="G2101" s="10">
        <v>0</v>
      </c>
      <c r="H2101" s="10"/>
      <c r="I2101" s="10">
        <v>0</v>
      </c>
    </row>
    <row r="2102" spans="1:9" s="3" customFormat="1" ht="21.75" customHeight="1">
      <c r="A2102" s="8" t="s">
        <v>13</v>
      </c>
      <c r="B2102" s="8" t="s">
        <v>10</v>
      </c>
      <c r="C2102" s="9" t="str">
        <f t="shared" si="42"/>
        <v>230114</v>
      </c>
      <c r="D2102" s="9" t="str">
        <f>"230901523"</f>
        <v>230901523</v>
      </c>
      <c r="E2102" s="10">
        <v>0</v>
      </c>
      <c r="F2102" s="10"/>
      <c r="G2102" s="10">
        <v>0</v>
      </c>
      <c r="H2102" s="10"/>
      <c r="I2102" s="10">
        <v>0</v>
      </c>
    </row>
    <row r="2103" spans="1:9" s="2" customFormat="1" ht="21.75" customHeight="1">
      <c r="A2103" s="8" t="s">
        <v>13</v>
      </c>
      <c r="B2103" s="8" t="s">
        <v>10</v>
      </c>
      <c r="C2103" s="9" t="str">
        <f t="shared" si="42"/>
        <v>230114</v>
      </c>
      <c r="D2103" s="9" t="str">
        <f>"230901530"</f>
        <v>230901530</v>
      </c>
      <c r="E2103" s="10">
        <v>0</v>
      </c>
      <c r="F2103" s="10"/>
      <c r="G2103" s="10">
        <v>0</v>
      </c>
      <c r="H2103" s="10"/>
      <c r="I2103" s="10">
        <v>0</v>
      </c>
    </row>
    <row r="2104" spans="1:9" s="3" customFormat="1" ht="21.75" customHeight="1">
      <c r="A2104" s="8" t="s">
        <v>13</v>
      </c>
      <c r="B2104" s="8" t="s">
        <v>10</v>
      </c>
      <c r="C2104" s="9" t="str">
        <f t="shared" si="42"/>
        <v>230114</v>
      </c>
      <c r="D2104" s="9" t="str">
        <f>"230901603"</f>
        <v>230901603</v>
      </c>
      <c r="E2104" s="10">
        <v>0</v>
      </c>
      <c r="F2104" s="10"/>
      <c r="G2104" s="10">
        <v>0</v>
      </c>
      <c r="H2104" s="10"/>
      <c r="I2104" s="10">
        <v>0</v>
      </c>
    </row>
    <row r="2105" spans="1:9" s="2" customFormat="1" ht="21.75" customHeight="1">
      <c r="A2105" s="8" t="s">
        <v>13</v>
      </c>
      <c r="B2105" s="8" t="s">
        <v>10</v>
      </c>
      <c r="C2105" s="9" t="str">
        <f t="shared" si="42"/>
        <v>230114</v>
      </c>
      <c r="D2105" s="9" t="str">
        <f>"230901604"</f>
        <v>230901604</v>
      </c>
      <c r="E2105" s="10">
        <v>0</v>
      </c>
      <c r="F2105" s="10"/>
      <c r="G2105" s="10">
        <v>0</v>
      </c>
      <c r="H2105" s="10"/>
      <c r="I2105" s="10">
        <v>0</v>
      </c>
    </row>
    <row r="2106" spans="1:9" s="2" customFormat="1" ht="21.75" customHeight="1">
      <c r="A2106" s="8" t="s">
        <v>13</v>
      </c>
      <c r="B2106" s="8" t="s">
        <v>10</v>
      </c>
      <c r="C2106" s="9" t="str">
        <f t="shared" si="42"/>
        <v>230114</v>
      </c>
      <c r="D2106" s="9" t="str">
        <f>"230901605"</f>
        <v>230901605</v>
      </c>
      <c r="E2106" s="10">
        <v>0</v>
      </c>
      <c r="F2106" s="10"/>
      <c r="G2106" s="10">
        <v>0</v>
      </c>
      <c r="H2106" s="10"/>
      <c r="I2106" s="10">
        <v>0</v>
      </c>
    </row>
    <row r="2107" spans="1:9" s="2" customFormat="1" ht="21.75" customHeight="1">
      <c r="A2107" s="8" t="s">
        <v>13</v>
      </c>
      <c r="B2107" s="8" t="s">
        <v>10</v>
      </c>
      <c r="C2107" s="9" t="str">
        <f t="shared" si="42"/>
        <v>230114</v>
      </c>
      <c r="D2107" s="9" t="str">
        <f>"230901607"</f>
        <v>230901607</v>
      </c>
      <c r="E2107" s="10">
        <v>0</v>
      </c>
      <c r="F2107" s="10"/>
      <c r="G2107" s="10">
        <v>0</v>
      </c>
      <c r="H2107" s="10"/>
      <c r="I2107" s="10">
        <v>0</v>
      </c>
    </row>
    <row r="2108" spans="1:9" s="3" customFormat="1" ht="21.75" customHeight="1">
      <c r="A2108" s="8" t="s">
        <v>13</v>
      </c>
      <c r="B2108" s="8" t="s">
        <v>10</v>
      </c>
      <c r="C2108" s="9" t="str">
        <f t="shared" si="42"/>
        <v>230114</v>
      </c>
      <c r="D2108" s="9" t="str">
        <f>"230901609"</f>
        <v>230901609</v>
      </c>
      <c r="E2108" s="10">
        <v>0</v>
      </c>
      <c r="F2108" s="10"/>
      <c r="G2108" s="10">
        <v>0</v>
      </c>
      <c r="H2108" s="10"/>
      <c r="I2108" s="10">
        <v>0</v>
      </c>
    </row>
    <row r="2109" spans="1:9" s="2" customFormat="1" ht="21.75" customHeight="1">
      <c r="A2109" s="8" t="s">
        <v>13</v>
      </c>
      <c r="B2109" s="8" t="s">
        <v>10</v>
      </c>
      <c r="C2109" s="9" t="str">
        <f t="shared" si="42"/>
        <v>230114</v>
      </c>
      <c r="D2109" s="9" t="str">
        <f>"230901613"</f>
        <v>230901613</v>
      </c>
      <c r="E2109" s="10">
        <v>0</v>
      </c>
      <c r="F2109" s="10"/>
      <c r="G2109" s="10">
        <v>0</v>
      </c>
      <c r="H2109" s="10"/>
      <c r="I2109" s="10">
        <v>0</v>
      </c>
    </row>
    <row r="2110" spans="1:9" s="2" customFormat="1" ht="21.75" customHeight="1">
      <c r="A2110" s="8" t="s">
        <v>13</v>
      </c>
      <c r="B2110" s="8" t="s">
        <v>10</v>
      </c>
      <c r="C2110" s="9" t="str">
        <f t="shared" si="42"/>
        <v>230114</v>
      </c>
      <c r="D2110" s="9" t="str">
        <f>"230901616"</f>
        <v>230901616</v>
      </c>
      <c r="E2110" s="10">
        <v>0</v>
      </c>
      <c r="F2110" s="10"/>
      <c r="G2110" s="10">
        <v>0</v>
      </c>
      <c r="H2110" s="10"/>
      <c r="I2110" s="10">
        <v>0</v>
      </c>
    </row>
    <row r="2111" spans="1:9" s="3" customFormat="1" ht="21.75" customHeight="1">
      <c r="A2111" s="8" t="s">
        <v>13</v>
      </c>
      <c r="B2111" s="8" t="s">
        <v>10</v>
      </c>
      <c r="C2111" s="9" t="str">
        <f t="shared" si="42"/>
        <v>230114</v>
      </c>
      <c r="D2111" s="9" t="str">
        <f>"230901617"</f>
        <v>230901617</v>
      </c>
      <c r="E2111" s="10">
        <v>0</v>
      </c>
      <c r="F2111" s="10"/>
      <c r="G2111" s="10">
        <v>0</v>
      </c>
      <c r="H2111" s="10"/>
      <c r="I2111" s="10">
        <v>0</v>
      </c>
    </row>
    <row r="2112" spans="1:9" s="3" customFormat="1" ht="21.75" customHeight="1">
      <c r="A2112" s="8" t="s">
        <v>13</v>
      </c>
      <c r="B2112" s="8" t="s">
        <v>10</v>
      </c>
      <c r="C2112" s="9" t="str">
        <f t="shared" si="42"/>
        <v>230114</v>
      </c>
      <c r="D2112" s="9" t="str">
        <f>"230901619"</f>
        <v>230901619</v>
      </c>
      <c r="E2112" s="10">
        <v>0</v>
      </c>
      <c r="F2112" s="10"/>
      <c r="G2112" s="10">
        <v>0</v>
      </c>
      <c r="H2112" s="10"/>
      <c r="I2112" s="10">
        <v>0</v>
      </c>
    </row>
    <row r="2113" spans="1:9" s="2" customFormat="1" ht="21.75" customHeight="1">
      <c r="A2113" s="8" t="s">
        <v>13</v>
      </c>
      <c r="B2113" s="8" t="s">
        <v>10</v>
      </c>
      <c r="C2113" s="9" t="str">
        <f t="shared" si="42"/>
        <v>230114</v>
      </c>
      <c r="D2113" s="9" t="str">
        <f>"230901620"</f>
        <v>230901620</v>
      </c>
      <c r="E2113" s="10">
        <v>0</v>
      </c>
      <c r="F2113" s="10"/>
      <c r="G2113" s="10">
        <v>0</v>
      </c>
      <c r="H2113" s="10"/>
      <c r="I2113" s="10">
        <v>0</v>
      </c>
    </row>
    <row r="2114" spans="1:9" s="3" customFormat="1" ht="21.75" customHeight="1">
      <c r="A2114" s="8" t="s">
        <v>13</v>
      </c>
      <c r="B2114" s="8" t="s">
        <v>10</v>
      </c>
      <c r="C2114" s="9" t="str">
        <f t="shared" si="42"/>
        <v>230114</v>
      </c>
      <c r="D2114" s="9" t="str">
        <f>"230901623"</f>
        <v>230901623</v>
      </c>
      <c r="E2114" s="10">
        <v>0</v>
      </c>
      <c r="F2114" s="10"/>
      <c r="G2114" s="10">
        <v>0</v>
      </c>
      <c r="H2114" s="10"/>
      <c r="I2114" s="10">
        <v>0</v>
      </c>
    </row>
    <row r="2115" spans="1:9" s="3" customFormat="1" ht="21.75" customHeight="1">
      <c r="A2115" s="8" t="s">
        <v>13</v>
      </c>
      <c r="B2115" s="8" t="s">
        <v>10</v>
      </c>
      <c r="C2115" s="9" t="str">
        <f t="shared" si="42"/>
        <v>230114</v>
      </c>
      <c r="D2115" s="9" t="str">
        <f>"230901627"</f>
        <v>230901627</v>
      </c>
      <c r="E2115" s="10">
        <v>0</v>
      </c>
      <c r="F2115" s="10"/>
      <c r="G2115" s="10">
        <v>0</v>
      </c>
      <c r="H2115" s="10"/>
      <c r="I2115" s="10">
        <v>0</v>
      </c>
    </row>
    <row r="2116" spans="1:9" s="2" customFormat="1" ht="21.75" customHeight="1">
      <c r="A2116" s="8" t="s">
        <v>13</v>
      </c>
      <c r="B2116" s="8" t="s">
        <v>10</v>
      </c>
      <c r="C2116" s="9" t="str">
        <f t="shared" si="42"/>
        <v>230114</v>
      </c>
      <c r="D2116" s="9" t="str">
        <f>"230901628"</f>
        <v>230901628</v>
      </c>
      <c r="E2116" s="10">
        <v>0</v>
      </c>
      <c r="F2116" s="10"/>
      <c r="G2116" s="10">
        <v>0</v>
      </c>
      <c r="H2116" s="10"/>
      <c r="I2116" s="10">
        <v>0</v>
      </c>
    </row>
    <row r="2117" spans="1:9" s="2" customFormat="1" ht="21.75" customHeight="1">
      <c r="A2117" s="8" t="s">
        <v>13</v>
      </c>
      <c r="B2117" s="8" t="s">
        <v>10</v>
      </c>
      <c r="C2117" s="9" t="str">
        <f t="shared" si="42"/>
        <v>230114</v>
      </c>
      <c r="D2117" s="9" t="str">
        <f>"230901629"</f>
        <v>230901629</v>
      </c>
      <c r="E2117" s="10">
        <v>0</v>
      </c>
      <c r="F2117" s="10"/>
      <c r="G2117" s="10">
        <v>0</v>
      </c>
      <c r="H2117" s="10"/>
      <c r="I2117" s="10">
        <v>0</v>
      </c>
    </row>
    <row r="2118" spans="1:9" s="2" customFormat="1" ht="21.75" customHeight="1">
      <c r="A2118" s="8" t="s">
        <v>13</v>
      </c>
      <c r="B2118" s="8" t="s">
        <v>10</v>
      </c>
      <c r="C2118" s="9" t="str">
        <f t="shared" si="42"/>
        <v>230114</v>
      </c>
      <c r="D2118" s="9" t="str">
        <f>"230901702"</f>
        <v>230901702</v>
      </c>
      <c r="E2118" s="10">
        <v>0</v>
      </c>
      <c r="F2118" s="10"/>
      <c r="G2118" s="10">
        <v>0</v>
      </c>
      <c r="H2118" s="10"/>
      <c r="I2118" s="10">
        <v>0</v>
      </c>
    </row>
    <row r="2119" spans="1:9" ht="21.75" customHeight="1">
      <c r="A2119" s="8" t="s">
        <v>14</v>
      </c>
      <c r="B2119" s="8" t="s">
        <v>15</v>
      </c>
      <c r="C2119" s="9" t="str">
        <f t="shared" ref="C2119:C2150" si="43">"230115"</f>
        <v>230115</v>
      </c>
      <c r="D2119" s="9" t="str">
        <f>"230902214"</f>
        <v>230902214</v>
      </c>
      <c r="E2119" s="10">
        <v>79.180000000000007</v>
      </c>
      <c r="F2119" s="10"/>
      <c r="G2119" s="10">
        <v>78.5</v>
      </c>
      <c r="H2119" s="10"/>
      <c r="I2119" s="10">
        <v>78.77</v>
      </c>
    </row>
    <row r="2120" spans="1:9" ht="21.75" customHeight="1">
      <c r="A2120" s="8" t="s">
        <v>14</v>
      </c>
      <c r="B2120" s="8" t="s">
        <v>15</v>
      </c>
      <c r="C2120" s="9" t="str">
        <f t="shared" si="43"/>
        <v>230115</v>
      </c>
      <c r="D2120" s="9" t="str">
        <f>"230902122"</f>
        <v>230902122</v>
      </c>
      <c r="E2120" s="10">
        <v>82.98</v>
      </c>
      <c r="F2120" s="10"/>
      <c r="G2120" s="10">
        <v>75</v>
      </c>
      <c r="H2120" s="10"/>
      <c r="I2120" s="10">
        <v>78.19</v>
      </c>
    </row>
    <row r="2121" spans="1:9" ht="21.75" customHeight="1">
      <c r="A2121" s="8" t="s">
        <v>14</v>
      </c>
      <c r="B2121" s="8" t="s">
        <v>15</v>
      </c>
      <c r="C2121" s="9" t="str">
        <f t="shared" si="43"/>
        <v>230115</v>
      </c>
      <c r="D2121" s="9" t="str">
        <f>"230901715"</f>
        <v>230901715</v>
      </c>
      <c r="E2121" s="10">
        <v>84.58</v>
      </c>
      <c r="F2121" s="10"/>
      <c r="G2121" s="10">
        <v>72.5</v>
      </c>
      <c r="H2121" s="10"/>
      <c r="I2121" s="10">
        <v>77.33</v>
      </c>
    </row>
    <row r="2122" spans="1:9" s="1" customFormat="1" ht="21.75" customHeight="1">
      <c r="A2122" s="8" t="s">
        <v>14</v>
      </c>
      <c r="B2122" s="8" t="s">
        <v>15</v>
      </c>
      <c r="C2122" s="9" t="str">
        <f t="shared" si="43"/>
        <v>230115</v>
      </c>
      <c r="D2122" s="9" t="str">
        <f>"230901827"</f>
        <v>230901827</v>
      </c>
      <c r="E2122" s="10">
        <v>74.81</v>
      </c>
      <c r="F2122" s="10"/>
      <c r="G2122" s="10">
        <v>79</v>
      </c>
      <c r="H2122" s="10"/>
      <c r="I2122" s="10">
        <v>77.319999999999993</v>
      </c>
    </row>
    <row r="2123" spans="1:9" s="1" customFormat="1" ht="21.75" customHeight="1">
      <c r="A2123" s="8" t="s">
        <v>14</v>
      </c>
      <c r="B2123" s="8" t="s">
        <v>15</v>
      </c>
      <c r="C2123" s="9" t="str">
        <f t="shared" si="43"/>
        <v>230115</v>
      </c>
      <c r="D2123" s="9" t="str">
        <f>"230901910"</f>
        <v>230901910</v>
      </c>
      <c r="E2123" s="10">
        <v>76.430000000000007</v>
      </c>
      <c r="F2123" s="10"/>
      <c r="G2123" s="10">
        <v>76.5</v>
      </c>
      <c r="H2123" s="10"/>
      <c r="I2123" s="10">
        <v>76.47</v>
      </c>
    </row>
    <row r="2124" spans="1:9" ht="21.75" customHeight="1">
      <c r="A2124" s="8" t="s">
        <v>14</v>
      </c>
      <c r="B2124" s="8" t="s">
        <v>15</v>
      </c>
      <c r="C2124" s="9" t="str">
        <f t="shared" si="43"/>
        <v>230115</v>
      </c>
      <c r="D2124" s="9" t="str">
        <f>"230902111"</f>
        <v>230902111</v>
      </c>
      <c r="E2124" s="10">
        <v>81.48</v>
      </c>
      <c r="F2124" s="10"/>
      <c r="G2124" s="10">
        <v>72</v>
      </c>
      <c r="H2124" s="10"/>
      <c r="I2124" s="10">
        <v>75.790000000000006</v>
      </c>
    </row>
    <row r="2125" spans="1:9" ht="21.75" customHeight="1">
      <c r="A2125" s="8" t="s">
        <v>14</v>
      </c>
      <c r="B2125" s="8" t="s">
        <v>15</v>
      </c>
      <c r="C2125" s="9" t="str">
        <f t="shared" si="43"/>
        <v>230115</v>
      </c>
      <c r="D2125" s="9" t="str">
        <f>"230901822"</f>
        <v>230901822</v>
      </c>
      <c r="E2125" s="10">
        <v>74.569999999999993</v>
      </c>
      <c r="F2125" s="10"/>
      <c r="G2125" s="10">
        <v>76.5</v>
      </c>
      <c r="H2125" s="10"/>
      <c r="I2125" s="10">
        <v>75.73</v>
      </c>
    </row>
    <row r="2126" spans="1:9" ht="21.75" customHeight="1">
      <c r="A2126" s="8" t="s">
        <v>14</v>
      </c>
      <c r="B2126" s="8" t="s">
        <v>15</v>
      </c>
      <c r="C2126" s="9" t="str">
        <f t="shared" si="43"/>
        <v>230115</v>
      </c>
      <c r="D2126" s="9" t="str">
        <f>"230902023"</f>
        <v>230902023</v>
      </c>
      <c r="E2126" s="10">
        <v>75.510000000000005</v>
      </c>
      <c r="F2126" s="10"/>
      <c r="G2126" s="10">
        <v>75.5</v>
      </c>
      <c r="H2126" s="10"/>
      <c r="I2126" s="10">
        <v>75.5</v>
      </c>
    </row>
    <row r="2127" spans="1:9" s="1" customFormat="1" ht="21.75" customHeight="1">
      <c r="A2127" s="8" t="s">
        <v>14</v>
      </c>
      <c r="B2127" s="8" t="s">
        <v>15</v>
      </c>
      <c r="C2127" s="9" t="str">
        <f t="shared" si="43"/>
        <v>230115</v>
      </c>
      <c r="D2127" s="9" t="str">
        <f>"230902007"</f>
        <v>230902007</v>
      </c>
      <c r="E2127" s="10">
        <v>74.69</v>
      </c>
      <c r="F2127" s="10"/>
      <c r="G2127" s="10">
        <v>76</v>
      </c>
      <c r="H2127" s="10"/>
      <c r="I2127" s="10">
        <v>75.48</v>
      </c>
    </row>
    <row r="2128" spans="1:9" ht="21.75" customHeight="1">
      <c r="A2128" s="8" t="s">
        <v>14</v>
      </c>
      <c r="B2128" s="8" t="s">
        <v>15</v>
      </c>
      <c r="C2128" s="9" t="str">
        <f t="shared" si="43"/>
        <v>230115</v>
      </c>
      <c r="D2128" s="9" t="str">
        <f>"230901806"</f>
        <v>230901806</v>
      </c>
      <c r="E2128" s="10">
        <v>80.55</v>
      </c>
      <c r="F2128" s="10"/>
      <c r="G2128" s="10">
        <v>72</v>
      </c>
      <c r="H2128" s="10"/>
      <c r="I2128" s="10">
        <v>75.42</v>
      </c>
    </row>
    <row r="2129" spans="1:9" ht="21.75" customHeight="1">
      <c r="A2129" s="8" t="s">
        <v>14</v>
      </c>
      <c r="B2129" s="8" t="s">
        <v>15</v>
      </c>
      <c r="C2129" s="9" t="str">
        <f t="shared" si="43"/>
        <v>230115</v>
      </c>
      <c r="D2129" s="9" t="str">
        <f>"230902217"</f>
        <v>230902217</v>
      </c>
      <c r="E2129" s="10">
        <v>81.25</v>
      </c>
      <c r="F2129" s="10"/>
      <c r="G2129" s="10">
        <v>71.5</v>
      </c>
      <c r="H2129" s="10"/>
      <c r="I2129" s="10">
        <v>75.400000000000006</v>
      </c>
    </row>
    <row r="2130" spans="1:9" ht="21.75" customHeight="1">
      <c r="A2130" s="8" t="s">
        <v>14</v>
      </c>
      <c r="B2130" s="8" t="s">
        <v>15</v>
      </c>
      <c r="C2130" s="9" t="str">
        <f t="shared" si="43"/>
        <v>230115</v>
      </c>
      <c r="D2130" s="9" t="str">
        <f>"230901924"</f>
        <v>230901924</v>
      </c>
      <c r="E2130" s="10">
        <v>76.42</v>
      </c>
      <c r="F2130" s="10"/>
      <c r="G2130" s="10">
        <v>74.5</v>
      </c>
      <c r="H2130" s="10"/>
      <c r="I2130" s="10">
        <v>75.27</v>
      </c>
    </row>
    <row r="2131" spans="1:9" s="1" customFormat="1" ht="21.75" customHeight="1">
      <c r="A2131" s="8" t="s">
        <v>14</v>
      </c>
      <c r="B2131" s="8" t="s">
        <v>15</v>
      </c>
      <c r="C2131" s="9" t="str">
        <f t="shared" si="43"/>
        <v>230115</v>
      </c>
      <c r="D2131" s="9" t="str">
        <f>"230901930"</f>
        <v>230901930</v>
      </c>
      <c r="E2131" s="10">
        <v>74.930000000000007</v>
      </c>
      <c r="F2131" s="10"/>
      <c r="G2131" s="10">
        <v>75</v>
      </c>
      <c r="H2131" s="10"/>
      <c r="I2131" s="10">
        <v>74.97</v>
      </c>
    </row>
    <row r="2132" spans="1:9" s="1" customFormat="1" ht="21.75" customHeight="1">
      <c r="A2132" s="8" t="s">
        <v>14</v>
      </c>
      <c r="B2132" s="8" t="s">
        <v>15</v>
      </c>
      <c r="C2132" s="9" t="str">
        <f t="shared" si="43"/>
        <v>230115</v>
      </c>
      <c r="D2132" s="9" t="str">
        <f>"230902128"</f>
        <v>230902128</v>
      </c>
      <c r="E2132" s="10">
        <v>78.61</v>
      </c>
      <c r="F2132" s="10"/>
      <c r="G2132" s="10">
        <v>72.5</v>
      </c>
      <c r="H2132" s="10"/>
      <c r="I2132" s="10">
        <v>74.94</v>
      </c>
    </row>
    <row r="2133" spans="1:9" ht="21.75" customHeight="1">
      <c r="A2133" s="8" t="s">
        <v>14</v>
      </c>
      <c r="B2133" s="8" t="s">
        <v>15</v>
      </c>
      <c r="C2133" s="9" t="str">
        <f t="shared" si="43"/>
        <v>230115</v>
      </c>
      <c r="D2133" s="9" t="str">
        <f>"230901922"</f>
        <v>230901922</v>
      </c>
      <c r="E2133" s="10">
        <v>78.83</v>
      </c>
      <c r="F2133" s="10"/>
      <c r="G2133" s="10">
        <v>72</v>
      </c>
      <c r="H2133" s="10"/>
      <c r="I2133" s="10">
        <v>74.73</v>
      </c>
    </row>
    <row r="2134" spans="1:9" ht="21.75" customHeight="1">
      <c r="A2134" s="8" t="s">
        <v>14</v>
      </c>
      <c r="B2134" s="8" t="s">
        <v>15</v>
      </c>
      <c r="C2134" s="9" t="str">
        <f t="shared" si="43"/>
        <v>230115</v>
      </c>
      <c r="D2134" s="9" t="str">
        <f>"230902123"</f>
        <v>230902123</v>
      </c>
      <c r="E2134" s="10">
        <v>71.819999999999993</v>
      </c>
      <c r="F2134" s="10"/>
      <c r="G2134" s="10">
        <v>76.5</v>
      </c>
      <c r="H2134" s="10"/>
      <c r="I2134" s="10">
        <v>74.63</v>
      </c>
    </row>
    <row r="2135" spans="1:9" s="1" customFormat="1" ht="21.75" customHeight="1">
      <c r="A2135" s="8" t="s">
        <v>14</v>
      </c>
      <c r="B2135" s="8" t="s">
        <v>15</v>
      </c>
      <c r="C2135" s="9" t="str">
        <f t="shared" si="43"/>
        <v>230115</v>
      </c>
      <c r="D2135" s="9" t="str">
        <f>"230901916"</f>
        <v>230901916</v>
      </c>
      <c r="E2135" s="10">
        <v>74</v>
      </c>
      <c r="F2135" s="10"/>
      <c r="G2135" s="10">
        <v>75</v>
      </c>
      <c r="H2135" s="10"/>
      <c r="I2135" s="10">
        <v>74.599999999999994</v>
      </c>
    </row>
    <row r="2136" spans="1:9" ht="21.75" customHeight="1">
      <c r="A2136" s="8" t="s">
        <v>14</v>
      </c>
      <c r="B2136" s="8" t="s">
        <v>15</v>
      </c>
      <c r="C2136" s="9" t="str">
        <f t="shared" si="43"/>
        <v>230115</v>
      </c>
      <c r="D2136" s="9" t="str">
        <f>"230901809"</f>
        <v>230901809</v>
      </c>
      <c r="E2136" s="10">
        <v>73.08</v>
      </c>
      <c r="F2136" s="10"/>
      <c r="G2136" s="10">
        <v>75</v>
      </c>
      <c r="H2136" s="10"/>
      <c r="I2136" s="10">
        <v>74.23</v>
      </c>
    </row>
    <row r="2137" spans="1:9" s="1" customFormat="1" ht="21.75" customHeight="1">
      <c r="A2137" s="8" t="s">
        <v>14</v>
      </c>
      <c r="B2137" s="8" t="s">
        <v>15</v>
      </c>
      <c r="C2137" s="9" t="str">
        <f t="shared" si="43"/>
        <v>230115</v>
      </c>
      <c r="D2137" s="9" t="str">
        <f>"230901816"</f>
        <v>230901816</v>
      </c>
      <c r="E2137" s="10">
        <v>75.150000000000006</v>
      </c>
      <c r="F2137" s="10"/>
      <c r="G2137" s="10">
        <v>73.5</v>
      </c>
      <c r="H2137" s="10"/>
      <c r="I2137" s="10">
        <v>74.16</v>
      </c>
    </row>
    <row r="2138" spans="1:9" ht="21.75" customHeight="1">
      <c r="A2138" s="8" t="s">
        <v>14</v>
      </c>
      <c r="B2138" s="8" t="s">
        <v>15</v>
      </c>
      <c r="C2138" s="9" t="str">
        <f t="shared" si="43"/>
        <v>230115</v>
      </c>
      <c r="D2138" s="9" t="str">
        <f>"230901724"</f>
        <v>230901724</v>
      </c>
      <c r="E2138" s="10">
        <v>69.739999999999995</v>
      </c>
      <c r="F2138" s="10"/>
      <c r="G2138" s="10">
        <v>77</v>
      </c>
      <c r="H2138" s="10"/>
      <c r="I2138" s="10">
        <v>74.099999999999994</v>
      </c>
    </row>
    <row r="2139" spans="1:9" ht="21.75" customHeight="1">
      <c r="A2139" s="8" t="s">
        <v>14</v>
      </c>
      <c r="B2139" s="8" t="s">
        <v>15</v>
      </c>
      <c r="C2139" s="9" t="str">
        <f t="shared" si="43"/>
        <v>230115</v>
      </c>
      <c r="D2139" s="9" t="str">
        <f>"230901829"</f>
        <v>230901829</v>
      </c>
      <c r="E2139" s="10">
        <v>69.73</v>
      </c>
      <c r="F2139" s="10"/>
      <c r="G2139" s="10">
        <v>77</v>
      </c>
      <c r="H2139" s="10"/>
      <c r="I2139" s="10">
        <v>74.09</v>
      </c>
    </row>
    <row r="2140" spans="1:9" ht="21.75" customHeight="1">
      <c r="A2140" s="8" t="s">
        <v>14</v>
      </c>
      <c r="B2140" s="8" t="s">
        <v>15</v>
      </c>
      <c r="C2140" s="9" t="str">
        <f t="shared" si="43"/>
        <v>230115</v>
      </c>
      <c r="D2140" s="9" t="str">
        <f>"230901717"</f>
        <v>230901717</v>
      </c>
      <c r="E2140" s="10">
        <v>73.86</v>
      </c>
      <c r="F2140" s="10"/>
      <c r="G2140" s="10">
        <v>74</v>
      </c>
      <c r="H2140" s="10"/>
      <c r="I2140" s="10">
        <v>73.94</v>
      </c>
    </row>
    <row r="2141" spans="1:9" ht="21.75" customHeight="1">
      <c r="A2141" s="8" t="s">
        <v>14</v>
      </c>
      <c r="B2141" s="8" t="s">
        <v>15</v>
      </c>
      <c r="C2141" s="9" t="str">
        <f t="shared" si="43"/>
        <v>230115</v>
      </c>
      <c r="D2141" s="9" t="str">
        <f>"230902120"</f>
        <v>230902120</v>
      </c>
      <c r="E2141" s="10">
        <v>73.08</v>
      </c>
      <c r="F2141" s="10"/>
      <c r="G2141" s="10">
        <v>74.5</v>
      </c>
      <c r="H2141" s="10"/>
      <c r="I2141" s="10">
        <v>73.930000000000007</v>
      </c>
    </row>
    <row r="2142" spans="1:9" ht="21.75" customHeight="1">
      <c r="A2142" s="8" t="s">
        <v>14</v>
      </c>
      <c r="B2142" s="8" t="s">
        <v>15</v>
      </c>
      <c r="C2142" s="9" t="str">
        <f t="shared" si="43"/>
        <v>230115</v>
      </c>
      <c r="D2142" s="9" t="str">
        <f>"230902026"</f>
        <v>230902026</v>
      </c>
      <c r="E2142" s="10">
        <v>76.06</v>
      </c>
      <c r="F2142" s="10"/>
      <c r="G2142" s="10">
        <v>72.5</v>
      </c>
      <c r="H2142" s="10"/>
      <c r="I2142" s="10">
        <v>73.92</v>
      </c>
    </row>
    <row r="2143" spans="1:9" s="1" customFormat="1" ht="21.75" customHeight="1">
      <c r="A2143" s="8" t="s">
        <v>14</v>
      </c>
      <c r="B2143" s="8" t="s">
        <v>15</v>
      </c>
      <c r="C2143" s="9" t="str">
        <f t="shared" si="43"/>
        <v>230115</v>
      </c>
      <c r="D2143" s="9" t="str">
        <f>"230901904"</f>
        <v>230901904</v>
      </c>
      <c r="E2143" s="10">
        <v>75.489999999999995</v>
      </c>
      <c r="F2143" s="10"/>
      <c r="G2143" s="10">
        <v>72.5</v>
      </c>
      <c r="H2143" s="10"/>
      <c r="I2143" s="10">
        <v>73.7</v>
      </c>
    </row>
    <row r="2144" spans="1:9" s="1" customFormat="1" ht="21.75" customHeight="1">
      <c r="A2144" s="8" t="s">
        <v>14</v>
      </c>
      <c r="B2144" s="8" t="s">
        <v>15</v>
      </c>
      <c r="C2144" s="9" t="str">
        <f t="shared" si="43"/>
        <v>230115</v>
      </c>
      <c r="D2144" s="9" t="str">
        <f>"230902025"</f>
        <v>230902025</v>
      </c>
      <c r="E2144" s="10">
        <v>78.48</v>
      </c>
      <c r="F2144" s="10"/>
      <c r="G2144" s="10">
        <v>70</v>
      </c>
      <c r="H2144" s="10"/>
      <c r="I2144" s="10">
        <v>73.39</v>
      </c>
    </row>
    <row r="2145" spans="1:9" s="1" customFormat="1" ht="21.75" customHeight="1">
      <c r="A2145" s="8" t="s">
        <v>14</v>
      </c>
      <c r="B2145" s="8" t="s">
        <v>15</v>
      </c>
      <c r="C2145" s="9" t="str">
        <f t="shared" si="43"/>
        <v>230115</v>
      </c>
      <c r="D2145" s="9" t="str">
        <f>"230901721"</f>
        <v>230901721</v>
      </c>
      <c r="E2145" s="10">
        <v>74.59</v>
      </c>
      <c r="F2145" s="10"/>
      <c r="G2145" s="10">
        <v>72.5</v>
      </c>
      <c r="H2145" s="10"/>
      <c r="I2145" s="10">
        <v>73.34</v>
      </c>
    </row>
    <row r="2146" spans="1:9" s="1" customFormat="1" ht="21.75" customHeight="1">
      <c r="A2146" s="8" t="s">
        <v>14</v>
      </c>
      <c r="B2146" s="8" t="s">
        <v>15</v>
      </c>
      <c r="C2146" s="9" t="str">
        <f t="shared" si="43"/>
        <v>230115</v>
      </c>
      <c r="D2146" s="9" t="str">
        <f>"230901925"</f>
        <v>230901925</v>
      </c>
      <c r="E2146" s="10">
        <v>71.48</v>
      </c>
      <c r="F2146" s="10"/>
      <c r="G2146" s="10">
        <v>74.5</v>
      </c>
      <c r="H2146" s="10"/>
      <c r="I2146" s="10">
        <v>73.290000000000006</v>
      </c>
    </row>
    <row r="2147" spans="1:9" s="1" customFormat="1" ht="21.75" customHeight="1">
      <c r="A2147" s="8" t="s">
        <v>14</v>
      </c>
      <c r="B2147" s="8" t="s">
        <v>15</v>
      </c>
      <c r="C2147" s="9" t="str">
        <f t="shared" si="43"/>
        <v>230115</v>
      </c>
      <c r="D2147" s="9" t="str">
        <f>"230902001"</f>
        <v>230902001</v>
      </c>
      <c r="E2147" s="10">
        <v>63.98</v>
      </c>
      <c r="F2147" s="10"/>
      <c r="G2147" s="10">
        <v>79</v>
      </c>
      <c r="H2147" s="10"/>
      <c r="I2147" s="10">
        <v>72.989999999999995</v>
      </c>
    </row>
    <row r="2148" spans="1:9" s="1" customFormat="1" ht="21.75" customHeight="1">
      <c r="A2148" s="8" t="s">
        <v>14</v>
      </c>
      <c r="B2148" s="8" t="s">
        <v>15</v>
      </c>
      <c r="C2148" s="9" t="str">
        <f t="shared" si="43"/>
        <v>230115</v>
      </c>
      <c r="D2148" s="9" t="str">
        <f>"230902129"</f>
        <v>230902129</v>
      </c>
      <c r="E2148" s="10">
        <v>68.83</v>
      </c>
      <c r="F2148" s="10"/>
      <c r="G2148" s="10">
        <v>74.5</v>
      </c>
      <c r="H2148" s="10"/>
      <c r="I2148" s="10">
        <v>72.23</v>
      </c>
    </row>
    <row r="2149" spans="1:9" ht="21.75" customHeight="1">
      <c r="A2149" s="8" t="s">
        <v>14</v>
      </c>
      <c r="B2149" s="8" t="s">
        <v>15</v>
      </c>
      <c r="C2149" s="9" t="str">
        <f t="shared" si="43"/>
        <v>230115</v>
      </c>
      <c r="D2149" s="9" t="str">
        <f>"230901927"</f>
        <v>230901927</v>
      </c>
      <c r="E2149" s="10">
        <v>69.98</v>
      </c>
      <c r="F2149" s="10"/>
      <c r="G2149" s="10">
        <v>73.5</v>
      </c>
      <c r="H2149" s="10"/>
      <c r="I2149" s="10">
        <v>72.09</v>
      </c>
    </row>
    <row r="2150" spans="1:9" ht="21.75" customHeight="1">
      <c r="A2150" s="8" t="s">
        <v>14</v>
      </c>
      <c r="B2150" s="8" t="s">
        <v>15</v>
      </c>
      <c r="C2150" s="9" t="str">
        <f t="shared" si="43"/>
        <v>230115</v>
      </c>
      <c r="D2150" s="9" t="str">
        <f>"230902104"</f>
        <v>230902104</v>
      </c>
      <c r="E2150" s="10">
        <v>70.69</v>
      </c>
      <c r="F2150" s="10"/>
      <c r="G2150" s="10">
        <v>72.5</v>
      </c>
      <c r="H2150" s="10"/>
      <c r="I2150" s="10">
        <v>71.78</v>
      </c>
    </row>
    <row r="2151" spans="1:9" ht="21.75" customHeight="1">
      <c r="A2151" s="8" t="s">
        <v>14</v>
      </c>
      <c r="B2151" s="8" t="s">
        <v>15</v>
      </c>
      <c r="C2151" s="9" t="str">
        <f t="shared" ref="C2151:C2182" si="44">"230115"</f>
        <v>230115</v>
      </c>
      <c r="D2151" s="9" t="str">
        <f>"230901830"</f>
        <v>230901830</v>
      </c>
      <c r="E2151" s="10">
        <v>72.75</v>
      </c>
      <c r="F2151" s="10"/>
      <c r="G2151" s="10">
        <v>71</v>
      </c>
      <c r="H2151" s="10"/>
      <c r="I2151" s="10">
        <v>71.7</v>
      </c>
    </row>
    <row r="2152" spans="1:9" ht="21.75" customHeight="1">
      <c r="A2152" s="8" t="s">
        <v>14</v>
      </c>
      <c r="B2152" s="8" t="s">
        <v>15</v>
      </c>
      <c r="C2152" s="9" t="str">
        <f t="shared" si="44"/>
        <v>230115</v>
      </c>
      <c r="D2152" s="9" t="str">
        <f>"230901730"</f>
        <v>230901730</v>
      </c>
      <c r="E2152" s="10">
        <v>73.3</v>
      </c>
      <c r="F2152" s="10"/>
      <c r="G2152" s="10">
        <v>70.5</v>
      </c>
      <c r="H2152" s="10"/>
      <c r="I2152" s="10">
        <v>71.62</v>
      </c>
    </row>
    <row r="2153" spans="1:9" s="1" customFormat="1" ht="21.75" customHeight="1">
      <c r="A2153" s="8" t="s">
        <v>14</v>
      </c>
      <c r="B2153" s="8" t="s">
        <v>15</v>
      </c>
      <c r="C2153" s="9" t="str">
        <f t="shared" si="44"/>
        <v>230115</v>
      </c>
      <c r="D2153" s="9" t="str">
        <f>"230902022"</f>
        <v>230902022</v>
      </c>
      <c r="E2153" s="10">
        <v>64.92</v>
      </c>
      <c r="F2153" s="10"/>
      <c r="G2153" s="10">
        <v>76</v>
      </c>
      <c r="H2153" s="10"/>
      <c r="I2153" s="10">
        <v>71.569999999999993</v>
      </c>
    </row>
    <row r="2154" spans="1:9" ht="21.75" customHeight="1">
      <c r="A2154" s="8" t="s">
        <v>14</v>
      </c>
      <c r="B2154" s="8" t="s">
        <v>15</v>
      </c>
      <c r="C2154" s="9" t="str">
        <f t="shared" si="44"/>
        <v>230115</v>
      </c>
      <c r="D2154" s="9" t="str">
        <f>"230902201"</f>
        <v>230902201</v>
      </c>
      <c r="E2154" s="10">
        <v>73.88</v>
      </c>
      <c r="F2154" s="10"/>
      <c r="G2154" s="10">
        <v>70</v>
      </c>
      <c r="H2154" s="10"/>
      <c r="I2154" s="10">
        <v>71.55</v>
      </c>
    </row>
    <row r="2155" spans="1:9" ht="21.75" customHeight="1">
      <c r="A2155" s="8" t="s">
        <v>14</v>
      </c>
      <c r="B2155" s="8" t="s">
        <v>15</v>
      </c>
      <c r="C2155" s="9" t="str">
        <f t="shared" si="44"/>
        <v>230115</v>
      </c>
      <c r="D2155" s="9" t="str">
        <f>"230902210"</f>
        <v>230902210</v>
      </c>
      <c r="E2155" s="10">
        <v>67.69</v>
      </c>
      <c r="F2155" s="10"/>
      <c r="G2155" s="10">
        <v>74</v>
      </c>
      <c r="H2155" s="10"/>
      <c r="I2155" s="10">
        <v>71.48</v>
      </c>
    </row>
    <row r="2156" spans="1:9" ht="21.75" customHeight="1">
      <c r="A2156" s="8" t="s">
        <v>14</v>
      </c>
      <c r="B2156" s="8" t="s">
        <v>15</v>
      </c>
      <c r="C2156" s="9" t="str">
        <f t="shared" si="44"/>
        <v>230115</v>
      </c>
      <c r="D2156" s="9" t="str">
        <f>"230902220"</f>
        <v>230902220</v>
      </c>
      <c r="E2156" s="10">
        <v>67.22</v>
      </c>
      <c r="F2156" s="10"/>
      <c r="G2156" s="10">
        <v>74</v>
      </c>
      <c r="H2156" s="10"/>
      <c r="I2156" s="10">
        <v>71.290000000000006</v>
      </c>
    </row>
    <row r="2157" spans="1:9" s="1" customFormat="1" ht="21.75" customHeight="1">
      <c r="A2157" s="8" t="s">
        <v>14</v>
      </c>
      <c r="B2157" s="8" t="s">
        <v>15</v>
      </c>
      <c r="C2157" s="9" t="str">
        <f t="shared" si="44"/>
        <v>230115</v>
      </c>
      <c r="D2157" s="9" t="str">
        <f>"230901807"</f>
        <v>230901807</v>
      </c>
      <c r="E2157" s="10">
        <v>68.459999999999994</v>
      </c>
      <c r="F2157" s="10"/>
      <c r="G2157" s="10">
        <v>73</v>
      </c>
      <c r="H2157" s="10"/>
      <c r="I2157" s="10">
        <v>71.180000000000007</v>
      </c>
    </row>
    <row r="2158" spans="1:9" ht="21.75" customHeight="1">
      <c r="A2158" s="8" t="s">
        <v>14</v>
      </c>
      <c r="B2158" s="8" t="s">
        <v>15</v>
      </c>
      <c r="C2158" s="9" t="str">
        <f t="shared" si="44"/>
        <v>230115</v>
      </c>
      <c r="D2158" s="9" t="str">
        <f>"230901913"</f>
        <v>230901913</v>
      </c>
      <c r="E2158" s="10">
        <v>62.16</v>
      </c>
      <c r="F2158" s="10"/>
      <c r="G2158" s="10">
        <v>77</v>
      </c>
      <c r="H2158" s="10"/>
      <c r="I2158" s="10">
        <v>71.06</v>
      </c>
    </row>
    <row r="2159" spans="1:9" ht="21.75" customHeight="1">
      <c r="A2159" s="8" t="s">
        <v>14</v>
      </c>
      <c r="B2159" s="8" t="s">
        <v>15</v>
      </c>
      <c r="C2159" s="9" t="str">
        <f t="shared" si="44"/>
        <v>230115</v>
      </c>
      <c r="D2159" s="9" t="str">
        <f>"230901820"</f>
        <v>230901820</v>
      </c>
      <c r="E2159" s="10">
        <v>69.53</v>
      </c>
      <c r="F2159" s="10"/>
      <c r="G2159" s="10">
        <v>72</v>
      </c>
      <c r="H2159" s="10"/>
      <c r="I2159" s="10">
        <v>71.010000000000005</v>
      </c>
    </row>
    <row r="2160" spans="1:9" ht="21.75" customHeight="1">
      <c r="A2160" s="8" t="s">
        <v>14</v>
      </c>
      <c r="B2160" s="8" t="s">
        <v>15</v>
      </c>
      <c r="C2160" s="9" t="str">
        <f t="shared" si="44"/>
        <v>230115</v>
      </c>
      <c r="D2160" s="9" t="str">
        <f>"230901920"</f>
        <v>230901920</v>
      </c>
      <c r="E2160" s="10">
        <v>69.39</v>
      </c>
      <c r="F2160" s="10"/>
      <c r="G2160" s="10">
        <v>72</v>
      </c>
      <c r="H2160" s="10"/>
      <c r="I2160" s="10">
        <v>70.959999999999994</v>
      </c>
    </row>
    <row r="2161" spans="1:9" ht="21.75" customHeight="1">
      <c r="A2161" s="8" t="s">
        <v>14</v>
      </c>
      <c r="B2161" s="8" t="s">
        <v>15</v>
      </c>
      <c r="C2161" s="9" t="str">
        <f t="shared" si="44"/>
        <v>230115</v>
      </c>
      <c r="D2161" s="9" t="str">
        <f>"230901918"</f>
        <v>230901918</v>
      </c>
      <c r="E2161" s="10">
        <v>71.599999999999994</v>
      </c>
      <c r="F2161" s="10"/>
      <c r="G2161" s="10">
        <v>70.5</v>
      </c>
      <c r="H2161" s="10"/>
      <c r="I2161" s="10">
        <v>70.94</v>
      </c>
    </row>
    <row r="2162" spans="1:9" ht="21.75" customHeight="1">
      <c r="A2162" s="8" t="s">
        <v>14</v>
      </c>
      <c r="B2162" s="8" t="s">
        <v>15</v>
      </c>
      <c r="C2162" s="9" t="str">
        <f t="shared" si="44"/>
        <v>230115</v>
      </c>
      <c r="D2162" s="9" t="str">
        <f>"230902125"</f>
        <v>230902125</v>
      </c>
      <c r="E2162" s="10">
        <v>78.260000000000005</v>
      </c>
      <c r="F2162" s="10"/>
      <c r="G2162" s="10">
        <v>66</v>
      </c>
      <c r="H2162" s="10"/>
      <c r="I2162" s="10">
        <v>70.900000000000006</v>
      </c>
    </row>
    <row r="2163" spans="1:9" ht="21.75" customHeight="1">
      <c r="A2163" s="8" t="s">
        <v>14</v>
      </c>
      <c r="B2163" s="8" t="s">
        <v>15</v>
      </c>
      <c r="C2163" s="9" t="str">
        <f t="shared" si="44"/>
        <v>230115</v>
      </c>
      <c r="D2163" s="9" t="str">
        <f>"230901810"</f>
        <v>230901810</v>
      </c>
      <c r="E2163" s="10">
        <v>73.650000000000006</v>
      </c>
      <c r="F2163" s="10"/>
      <c r="G2163" s="10">
        <v>69</v>
      </c>
      <c r="H2163" s="10"/>
      <c r="I2163" s="10">
        <v>70.86</v>
      </c>
    </row>
    <row r="2164" spans="1:9" ht="21.75" customHeight="1">
      <c r="A2164" s="8" t="s">
        <v>14</v>
      </c>
      <c r="B2164" s="8" t="s">
        <v>15</v>
      </c>
      <c r="C2164" s="9" t="str">
        <f t="shared" si="44"/>
        <v>230115</v>
      </c>
      <c r="D2164" s="9" t="str">
        <f>"230901929"</f>
        <v>230901929</v>
      </c>
      <c r="E2164" s="10">
        <v>73.55</v>
      </c>
      <c r="F2164" s="10"/>
      <c r="G2164" s="10">
        <v>69</v>
      </c>
      <c r="H2164" s="10"/>
      <c r="I2164" s="10">
        <v>70.819999999999993</v>
      </c>
    </row>
    <row r="2165" spans="1:9" ht="21.75" customHeight="1">
      <c r="A2165" s="8" t="s">
        <v>14</v>
      </c>
      <c r="B2165" s="8" t="s">
        <v>15</v>
      </c>
      <c r="C2165" s="9" t="str">
        <f t="shared" si="44"/>
        <v>230115</v>
      </c>
      <c r="D2165" s="9" t="str">
        <f>"230901926"</f>
        <v>230901926</v>
      </c>
      <c r="E2165" s="10">
        <v>70.33</v>
      </c>
      <c r="F2165" s="10"/>
      <c r="G2165" s="10">
        <v>71</v>
      </c>
      <c r="H2165" s="10"/>
      <c r="I2165" s="10">
        <v>70.73</v>
      </c>
    </row>
    <row r="2166" spans="1:9" ht="21.75" customHeight="1">
      <c r="A2166" s="8" t="s">
        <v>14</v>
      </c>
      <c r="B2166" s="8" t="s">
        <v>15</v>
      </c>
      <c r="C2166" s="9" t="str">
        <f t="shared" si="44"/>
        <v>230115</v>
      </c>
      <c r="D2166" s="9" t="str">
        <f>"230902015"</f>
        <v>230902015</v>
      </c>
      <c r="E2166" s="10">
        <v>66.08</v>
      </c>
      <c r="F2166" s="10"/>
      <c r="G2166" s="10">
        <v>73.5</v>
      </c>
      <c r="H2166" s="10"/>
      <c r="I2166" s="10">
        <v>70.53</v>
      </c>
    </row>
    <row r="2167" spans="1:9" ht="21.75" customHeight="1">
      <c r="A2167" s="8" t="s">
        <v>14</v>
      </c>
      <c r="B2167" s="8" t="s">
        <v>15</v>
      </c>
      <c r="C2167" s="9" t="str">
        <f t="shared" si="44"/>
        <v>230115</v>
      </c>
      <c r="D2167" s="9" t="str">
        <f>"230901814"</f>
        <v>230901814</v>
      </c>
      <c r="E2167" s="10">
        <v>68.12</v>
      </c>
      <c r="F2167" s="10"/>
      <c r="G2167" s="10">
        <v>72</v>
      </c>
      <c r="H2167" s="10"/>
      <c r="I2167" s="10">
        <v>70.45</v>
      </c>
    </row>
    <row r="2168" spans="1:9" ht="21.75" customHeight="1">
      <c r="A2168" s="8" t="s">
        <v>14</v>
      </c>
      <c r="B2168" s="8" t="s">
        <v>15</v>
      </c>
      <c r="C2168" s="9" t="str">
        <f t="shared" si="44"/>
        <v>230115</v>
      </c>
      <c r="D2168" s="9" t="str">
        <f>"230901813"</f>
        <v>230901813</v>
      </c>
      <c r="E2168" s="10">
        <v>68.819999999999993</v>
      </c>
      <c r="F2168" s="10"/>
      <c r="G2168" s="10">
        <v>71.5</v>
      </c>
      <c r="H2168" s="10"/>
      <c r="I2168" s="10">
        <v>70.430000000000007</v>
      </c>
    </row>
    <row r="2169" spans="1:9" ht="21.75" customHeight="1">
      <c r="A2169" s="8" t="s">
        <v>14</v>
      </c>
      <c r="B2169" s="8" t="s">
        <v>15</v>
      </c>
      <c r="C2169" s="9" t="str">
        <f t="shared" si="44"/>
        <v>230115</v>
      </c>
      <c r="D2169" s="9" t="str">
        <f>"230902012"</f>
        <v>230902012</v>
      </c>
      <c r="E2169" s="10">
        <v>63.53</v>
      </c>
      <c r="F2169" s="10"/>
      <c r="G2169" s="10">
        <v>75</v>
      </c>
      <c r="H2169" s="10"/>
      <c r="I2169" s="10">
        <v>70.41</v>
      </c>
    </row>
    <row r="2170" spans="1:9" ht="21.75" customHeight="1">
      <c r="A2170" s="8" t="s">
        <v>14</v>
      </c>
      <c r="B2170" s="8" t="s">
        <v>15</v>
      </c>
      <c r="C2170" s="9" t="str">
        <f t="shared" si="44"/>
        <v>230115</v>
      </c>
      <c r="D2170" s="9" t="str">
        <f>"230902021"</f>
        <v>230902021</v>
      </c>
      <c r="E2170" s="10">
        <v>67.22</v>
      </c>
      <c r="F2170" s="10"/>
      <c r="G2170" s="10">
        <v>72.5</v>
      </c>
      <c r="H2170" s="10"/>
      <c r="I2170" s="10">
        <v>70.39</v>
      </c>
    </row>
    <row r="2171" spans="1:9" ht="21.75" customHeight="1">
      <c r="A2171" s="8" t="s">
        <v>14</v>
      </c>
      <c r="B2171" s="8" t="s">
        <v>15</v>
      </c>
      <c r="C2171" s="9" t="str">
        <f t="shared" si="44"/>
        <v>230115</v>
      </c>
      <c r="D2171" s="9" t="str">
        <f>"230901817"</f>
        <v>230901817</v>
      </c>
      <c r="E2171" s="10">
        <v>68.48</v>
      </c>
      <c r="F2171" s="10"/>
      <c r="G2171" s="10">
        <v>71.5</v>
      </c>
      <c r="H2171" s="10"/>
      <c r="I2171" s="10">
        <v>70.290000000000006</v>
      </c>
    </row>
    <row r="2172" spans="1:9" ht="21.75" customHeight="1">
      <c r="A2172" s="8" t="s">
        <v>14</v>
      </c>
      <c r="B2172" s="8" t="s">
        <v>15</v>
      </c>
      <c r="C2172" s="9" t="str">
        <f t="shared" si="44"/>
        <v>230115</v>
      </c>
      <c r="D2172" s="9" t="str">
        <f>"230902114"</f>
        <v>230902114</v>
      </c>
      <c r="E2172" s="10">
        <v>71.22</v>
      </c>
      <c r="F2172" s="10"/>
      <c r="G2172" s="10">
        <v>69.5</v>
      </c>
      <c r="H2172" s="10"/>
      <c r="I2172" s="10">
        <v>70.19</v>
      </c>
    </row>
    <row r="2173" spans="1:9" s="1" customFormat="1" ht="21.75" customHeight="1">
      <c r="A2173" s="8" t="s">
        <v>14</v>
      </c>
      <c r="B2173" s="8" t="s">
        <v>15</v>
      </c>
      <c r="C2173" s="9" t="str">
        <f t="shared" si="44"/>
        <v>230115</v>
      </c>
      <c r="D2173" s="9" t="str">
        <f>"230902215"</f>
        <v>230902215</v>
      </c>
      <c r="E2173" s="10">
        <v>71.819999999999993</v>
      </c>
      <c r="F2173" s="10"/>
      <c r="G2173" s="10">
        <v>68.5</v>
      </c>
      <c r="H2173" s="10"/>
      <c r="I2173" s="10">
        <v>69.83</v>
      </c>
    </row>
    <row r="2174" spans="1:9" ht="21.75" customHeight="1">
      <c r="A2174" s="8" t="s">
        <v>14</v>
      </c>
      <c r="B2174" s="8" t="s">
        <v>15</v>
      </c>
      <c r="C2174" s="9" t="str">
        <f t="shared" si="44"/>
        <v>230115</v>
      </c>
      <c r="D2174" s="9" t="str">
        <f>"230901902"</f>
        <v>230901902</v>
      </c>
      <c r="E2174" s="10">
        <v>68.489999999999995</v>
      </c>
      <c r="F2174" s="10"/>
      <c r="G2174" s="10">
        <v>70.5</v>
      </c>
      <c r="H2174" s="10"/>
      <c r="I2174" s="10">
        <v>69.7</v>
      </c>
    </row>
    <row r="2175" spans="1:9" ht="21.75" customHeight="1">
      <c r="A2175" s="8" t="s">
        <v>14</v>
      </c>
      <c r="B2175" s="8" t="s">
        <v>15</v>
      </c>
      <c r="C2175" s="9" t="str">
        <f t="shared" si="44"/>
        <v>230115</v>
      </c>
      <c r="D2175" s="9" t="str">
        <f>"230901825"</f>
        <v>230901825</v>
      </c>
      <c r="E2175" s="10">
        <v>68.14</v>
      </c>
      <c r="F2175" s="10"/>
      <c r="G2175" s="10">
        <v>70.5</v>
      </c>
      <c r="H2175" s="10"/>
      <c r="I2175" s="10">
        <v>69.56</v>
      </c>
    </row>
    <row r="2176" spans="1:9" s="1" customFormat="1" ht="21.75" customHeight="1">
      <c r="A2176" s="8" t="s">
        <v>14</v>
      </c>
      <c r="B2176" s="8" t="s">
        <v>15</v>
      </c>
      <c r="C2176" s="9" t="str">
        <f t="shared" si="44"/>
        <v>230115</v>
      </c>
      <c r="D2176" s="9" t="str">
        <f>"230902013"</f>
        <v>230902013</v>
      </c>
      <c r="E2176" s="10">
        <v>69.39</v>
      </c>
      <c r="F2176" s="10"/>
      <c r="G2176" s="10">
        <v>69.5</v>
      </c>
      <c r="H2176" s="10"/>
      <c r="I2176" s="10">
        <v>69.459999999999994</v>
      </c>
    </row>
    <row r="2177" spans="1:9" s="1" customFormat="1" ht="21.75" customHeight="1">
      <c r="A2177" s="8" t="s">
        <v>14</v>
      </c>
      <c r="B2177" s="8" t="s">
        <v>15</v>
      </c>
      <c r="C2177" s="9" t="str">
        <f t="shared" si="44"/>
        <v>230115</v>
      </c>
      <c r="D2177" s="9" t="str">
        <f>"230902103"</f>
        <v>230902103</v>
      </c>
      <c r="E2177" s="10">
        <v>68.47</v>
      </c>
      <c r="F2177" s="10"/>
      <c r="G2177" s="10">
        <v>70</v>
      </c>
      <c r="H2177" s="10"/>
      <c r="I2177" s="10">
        <v>69.39</v>
      </c>
    </row>
    <row r="2178" spans="1:9" ht="21.75" customHeight="1">
      <c r="A2178" s="8" t="s">
        <v>14</v>
      </c>
      <c r="B2178" s="8" t="s">
        <v>15</v>
      </c>
      <c r="C2178" s="9" t="str">
        <f t="shared" si="44"/>
        <v>230115</v>
      </c>
      <c r="D2178" s="9" t="str">
        <f>"230901726"</f>
        <v>230901726</v>
      </c>
      <c r="E2178" s="10">
        <v>68.14</v>
      </c>
      <c r="F2178" s="10"/>
      <c r="G2178" s="10">
        <v>70</v>
      </c>
      <c r="H2178" s="10"/>
      <c r="I2178" s="10">
        <v>69.260000000000005</v>
      </c>
    </row>
    <row r="2179" spans="1:9" ht="21.75" customHeight="1">
      <c r="A2179" s="8" t="s">
        <v>14</v>
      </c>
      <c r="B2179" s="8" t="s">
        <v>15</v>
      </c>
      <c r="C2179" s="9" t="str">
        <f t="shared" si="44"/>
        <v>230115</v>
      </c>
      <c r="D2179" s="9" t="str">
        <f>"230902027"</f>
        <v>230902027</v>
      </c>
      <c r="E2179" s="10">
        <v>68.819999999999993</v>
      </c>
      <c r="F2179" s="10"/>
      <c r="G2179" s="10">
        <v>69.5</v>
      </c>
      <c r="H2179" s="10"/>
      <c r="I2179" s="10">
        <v>69.23</v>
      </c>
    </row>
    <row r="2180" spans="1:9" s="1" customFormat="1" ht="21.75" customHeight="1">
      <c r="A2180" s="8" t="s">
        <v>14</v>
      </c>
      <c r="B2180" s="8" t="s">
        <v>15</v>
      </c>
      <c r="C2180" s="9" t="str">
        <f t="shared" si="44"/>
        <v>230115</v>
      </c>
      <c r="D2180" s="9" t="str">
        <f>"230902126"</f>
        <v>230902126</v>
      </c>
      <c r="E2180" s="10">
        <v>69.27</v>
      </c>
      <c r="F2180" s="10"/>
      <c r="G2180" s="10">
        <v>69</v>
      </c>
      <c r="H2180" s="10"/>
      <c r="I2180" s="10">
        <v>69.11</v>
      </c>
    </row>
    <row r="2181" spans="1:9" s="1" customFormat="1" ht="21.75" customHeight="1">
      <c r="A2181" s="8" t="s">
        <v>14</v>
      </c>
      <c r="B2181" s="8" t="s">
        <v>15</v>
      </c>
      <c r="C2181" s="9" t="str">
        <f t="shared" si="44"/>
        <v>230115</v>
      </c>
      <c r="D2181" s="9" t="str">
        <f>"230902113"</f>
        <v>230902113</v>
      </c>
      <c r="E2181" s="10">
        <v>69.959999999999994</v>
      </c>
      <c r="F2181" s="10"/>
      <c r="G2181" s="10">
        <v>68.5</v>
      </c>
      <c r="H2181" s="10"/>
      <c r="I2181" s="10">
        <v>69.08</v>
      </c>
    </row>
    <row r="2182" spans="1:9" ht="21.75" customHeight="1">
      <c r="A2182" s="8" t="s">
        <v>14</v>
      </c>
      <c r="B2182" s="8" t="s">
        <v>15</v>
      </c>
      <c r="C2182" s="9" t="str">
        <f t="shared" si="44"/>
        <v>230115</v>
      </c>
      <c r="D2182" s="9" t="str">
        <f>"230902102"</f>
        <v>230902102</v>
      </c>
      <c r="E2182" s="10">
        <v>66.069999999999993</v>
      </c>
      <c r="F2182" s="10"/>
      <c r="G2182" s="10">
        <v>71</v>
      </c>
      <c r="H2182" s="10"/>
      <c r="I2182" s="10">
        <v>69.03</v>
      </c>
    </row>
    <row r="2183" spans="1:9" ht="21.75" customHeight="1">
      <c r="A2183" s="8" t="s">
        <v>14</v>
      </c>
      <c r="B2183" s="8" t="s">
        <v>15</v>
      </c>
      <c r="C2183" s="9" t="str">
        <f t="shared" ref="C2183:C2214" si="45">"230115"</f>
        <v>230115</v>
      </c>
      <c r="D2183" s="9" t="str">
        <f>"230902203"</f>
        <v>230902203</v>
      </c>
      <c r="E2183" s="10">
        <v>69.39</v>
      </c>
      <c r="F2183" s="10"/>
      <c r="G2183" s="10">
        <v>68.5</v>
      </c>
      <c r="H2183" s="10"/>
      <c r="I2183" s="10">
        <v>68.86</v>
      </c>
    </row>
    <row r="2184" spans="1:9" s="1" customFormat="1" ht="21.75" customHeight="1">
      <c r="A2184" s="8" t="s">
        <v>14</v>
      </c>
      <c r="B2184" s="8" t="s">
        <v>15</v>
      </c>
      <c r="C2184" s="9" t="str">
        <f t="shared" si="45"/>
        <v>230115</v>
      </c>
      <c r="D2184" s="9" t="str">
        <f>"230901907"</f>
        <v>230901907</v>
      </c>
      <c r="E2184" s="10">
        <v>68.83</v>
      </c>
      <c r="F2184" s="10"/>
      <c r="G2184" s="10">
        <v>68</v>
      </c>
      <c r="H2184" s="10"/>
      <c r="I2184" s="10">
        <v>68.33</v>
      </c>
    </row>
    <row r="2185" spans="1:9" s="1" customFormat="1" ht="21.75" customHeight="1">
      <c r="A2185" s="8" t="s">
        <v>14</v>
      </c>
      <c r="B2185" s="8" t="s">
        <v>15</v>
      </c>
      <c r="C2185" s="9" t="str">
        <f t="shared" si="45"/>
        <v>230115</v>
      </c>
      <c r="D2185" s="9" t="str">
        <f>"230901921"</f>
        <v>230901921</v>
      </c>
      <c r="E2185" s="10">
        <v>68.47</v>
      </c>
      <c r="F2185" s="10"/>
      <c r="G2185" s="10">
        <v>68</v>
      </c>
      <c r="H2185" s="10"/>
      <c r="I2185" s="10">
        <v>68.19</v>
      </c>
    </row>
    <row r="2186" spans="1:9" ht="21.75" customHeight="1">
      <c r="A2186" s="8" t="s">
        <v>14</v>
      </c>
      <c r="B2186" s="8" t="s">
        <v>15</v>
      </c>
      <c r="C2186" s="9" t="str">
        <f t="shared" si="45"/>
        <v>230115</v>
      </c>
      <c r="D2186" s="9" t="str">
        <f>"230901723"</f>
        <v>230901723</v>
      </c>
      <c r="E2186" s="10">
        <v>62.95</v>
      </c>
      <c r="F2186" s="10"/>
      <c r="G2186" s="10">
        <v>71.5</v>
      </c>
      <c r="H2186" s="10"/>
      <c r="I2186" s="10">
        <v>68.08</v>
      </c>
    </row>
    <row r="2187" spans="1:9" ht="21.75" customHeight="1">
      <c r="A2187" s="8" t="s">
        <v>14</v>
      </c>
      <c r="B2187" s="8" t="s">
        <v>15</v>
      </c>
      <c r="C2187" s="9" t="str">
        <f t="shared" si="45"/>
        <v>230115</v>
      </c>
      <c r="D2187" s="9" t="str">
        <f>"230902118"</f>
        <v>230902118</v>
      </c>
      <c r="E2187" s="10">
        <v>60.65</v>
      </c>
      <c r="F2187" s="10"/>
      <c r="G2187" s="10">
        <v>73</v>
      </c>
      <c r="H2187" s="10"/>
      <c r="I2187" s="10">
        <v>68.06</v>
      </c>
    </row>
    <row r="2188" spans="1:9" s="1" customFormat="1" ht="21.75" customHeight="1">
      <c r="A2188" s="8" t="s">
        <v>14</v>
      </c>
      <c r="B2188" s="8" t="s">
        <v>15</v>
      </c>
      <c r="C2188" s="9" t="str">
        <f t="shared" si="45"/>
        <v>230115</v>
      </c>
      <c r="D2188" s="9" t="str">
        <f>"230902028"</f>
        <v>230902028</v>
      </c>
      <c r="E2188" s="10">
        <v>64.27</v>
      </c>
      <c r="F2188" s="10"/>
      <c r="G2188" s="10">
        <v>70.5</v>
      </c>
      <c r="H2188" s="10"/>
      <c r="I2188" s="10">
        <v>68.010000000000005</v>
      </c>
    </row>
    <row r="2189" spans="1:9" ht="21.75" customHeight="1">
      <c r="A2189" s="8" t="s">
        <v>14</v>
      </c>
      <c r="B2189" s="8" t="s">
        <v>15</v>
      </c>
      <c r="C2189" s="9" t="str">
        <f t="shared" si="45"/>
        <v>230115</v>
      </c>
      <c r="D2189" s="9" t="str">
        <f>"230902019"</f>
        <v>230902019</v>
      </c>
      <c r="E2189" s="10">
        <v>67.2</v>
      </c>
      <c r="F2189" s="10"/>
      <c r="G2189" s="10">
        <v>68</v>
      </c>
      <c r="H2189" s="10"/>
      <c r="I2189" s="10">
        <v>67.680000000000007</v>
      </c>
    </row>
    <row r="2190" spans="1:9" ht="21.75" customHeight="1">
      <c r="A2190" s="8" t="s">
        <v>14</v>
      </c>
      <c r="B2190" s="8" t="s">
        <v>15</v>
      </c>
      <c r="C2190" s="9" t="str">
        <f t="shared" si="45"/>
        <v>230115</v>
      </c>
      <c r="D2190" s="9" t="str">
        <f>"230901718"</f>
        <v>230901718</v>
      </c>
      <c r="E2190" s="10">
        <v>64</v>
      </c>
      <c r="F2190" s="10"/>
      <c r="G2190" s="10">
        <v>70</v>
      </c>
      <c r="H2190" s="10"/>
      <c r="I2190" s="10">
        <v>67.599999999999994</v>
      </c>
    </row>
    <row r="2191" spans="1:9" ht="21.75" customHeight="1">
      <c r="A2191" s="8" t="s">
        <v>14</v>
      </c>
      <c r="B2191" s="8" t="s">
        <v>15</v>
      </c>
      <c r="C2191" s="9" t="str">
        <f t="shared" si="45"/>
        <v>230115</v>
      </c>
      <c r="D2191" s="9" t="str">
        <f>"230902223"</f>
        <v>230902223</v>
      </c>
      <c r="E2191" s="10">
        <v>74.22</v>
      </c>
      <c r="F2191" s="10"/>
      <c r="G2191" s="10">
        <v>63</v>
      </c>
      <c r="H2191" s="10"/>
      <c r="I2191" s="10">
        <v>67.489999999999995</v>
      </c>
    </row>
    <row r="2192" spans="1:9" ht="21.75" customHeight="1">
      <c r="A2192" s="8" t="s">
        <v>14</v>
      </c>
      <c r="B2192" s="8" t="s">
        <v>15</v>
      </c>
      <c r="C2192" s="9" t="str">
        <f t="shared" si="45"/>
        <v>230115</v>
      </c>
      <c r="D2192" s="9" t="str">
        <f>"230901912"</f>
        <v>230901912</v>
      </c>
      <c r="E2192" s="10">
        <v>60.77</v>
      </c>
      <c r="F2192" s="10"/>
      <c r="G2192" s="10">
        <v>71.5</v>
      </c>
      <c r="H2192" s="10"/>
      <c r="I2192" s="10">
        <v>67.209999999999994</v>
      </c>
    </row>
    <row r="2193" spans="1:9" ht="21.75" customHeight="1">
      <c r="A2193" s="8" t="s">
        <v>14</v>
      </c>
      <c r="B2193" s="8" t="s">
        <v>15</v>
      </c>
      <c r="C2193" s="9" t="str">
        <f t="shared" si="45"/>
        <v>230115</v>
      </c>
      <c r="D2193" s="9" t="str">
        <f>"230901821"</f>
        <v>230901821</v>
      </c>
      <c r="E2193" s="10">
        <v>59.98</v>
      </c>
      <c r="F2193" s="10"/>
      <c r="G2193" s="10">
        <v>72</v>
      </c>
      <c r="H2193" s="10"/>
      <c r="I2193" s="10">
        <v>67.19</v>
      </c>
    </row>
    <row r="2194" spans="1:9" s="1" customFormat="1" ht="21.75" customHeight="1">
      <c r="A2194" s="8" t="s">
        <v>14</v>
      </c>
      <c r="B2194" s="8" t="s">
        <v>15</v>
      </c>
      <c r="C2194" s="9" t="str">
        <f t="shared" si="45"/>
        <v>230115</v>
      </c>
      <c r="D2194" s="9" t="str">
        <f>"230902212"</f>
        <v>230902212</v>
      </c>
      <c r="E2194" s="10">
        <v>64.44</v>
      </c>
      <c r="F2194" s="10"/>
      <c r="G2194" s="10">
        <v>69</v>
      </c>
      <c r="H2194" s="10"/>
      <c r="I2194" s="10">
        <v>67.180000000000007</v>
      </c>
    </row>
    <row r="2195" spans="1:9" ht="21.75" customHeight="1">
      <c r="A2195" s="8" t="s">
        <v>14</v>
      </c>
      <c r="B2195" s="8" t="s">
        <v>15</v>
      </c>
      <c r="C2195" s="9" t="str">
        <f t="shared" si="45"/>
        <v>230115</v>
      </c>
      <c r="D2195" s="9" t="str">
        <f>"230901722"</f>
        <v>230901722</v>
      </c>
      <c r="E2195" s="10">
        <v>65.150000000000006</v>
      </c>
      <c r="F2195" s="10"/>
      <c r="G2195" s="10">
        <v>68.5</v>
      </c>
      <c r="H2195" s="10"/>
      <c r="I2195" s="10">
        <v>67.16</v>
      </c>
    </row>
    <row r="2196" spans="1:9" ht="21.75" customHeight="1">
      <c r="A2196" s="8" t="s">
        <v>14</v>
      </c>
      <c r="B2196" s="8" t="s">
        <v>15</v>
      </c>
      <c r="C2196" s="9" t="str">
        <f t="shared" si="45"/>
        <v>230115</v>
      </c>
      <c r="D2196" s="9" t="str">
        <f>"230902006"</f>
        <v>230902006</v>
      </c>
      <c r="E2196" s="10">
        <v>71.13</v>
      </c>
      <c r="F2196" s="10"/>
      <c r="G2196" s="10">
        <v>64.5</v>
      </c>
      <c r="H2196" s="10"/>
      <c r="I2196" s="10">
        <v>67.150000000000006</v>
      </c>
    </row>
    <row r="2197" spans="1:9" s="1" customFormat="1" ht="21.75" customHeight="1">
      <c r="A2197" s="8" t="s">
        <v>14</v>
      </c>
      <c r="B2197" s="8" t="s">
        <v>15</v>
      </c>
      <c r="C2197" s="9" t="str">
        <f t="shared" si="45"/>
        <v>230115</v>
      </c>
      <c r="D2197" s="9" t="str">
        <f>"230902107"</f>
        <v>230902107</v>
      </c>
      <c r="E2197" s="10">
        <v>62.02</v>
      </c>
      <c r="F2197" s="10"/>
      <c r="G2197" s="10">
        <v>70</v>
      </c>
      <c r="H2197" s="10"/>
      <c r="I2197" s="10">
        <v>66.81</v>
      </c>
    </row>
    <row r="2198" spans="1:9" s="1" customFormat="1" ht="21.75" customHeight="1">
      <c r="A2198" s="8" t="s">
        <v>14</v>
      </c>
      <c r="B2198" s="8" t="s">
        <v>15</v>
      </c>
      <c r="C2198" s="9" t="str">
        <f t="shared" si="45"/>
        <v>230115</v>
      </c>
      <c r="D2198" s="9" t="str">
        <f>"230902117"</f>
        <v>230902117</v>
      </c>
      <c r="E2198" s="10">
        <v>67.78</v>
      </c>
      <c r="F2198" s="10"/>
      <c r="G2198" s="10">
        <v>66</v>
      </c>
      <c r="H2198" s="10"/>
      <c r="I2198" s="10">
        <v>66.709999999999994</v>
      </c>
    </row>
    <row r="2199" spans="1:9" ht="21.75" customHeight="1">
      <c r="A2199" s="8" t="s">
        <v>14</v>
      </c>
      <c r="B2199" s="8" t="s">
        <v>15</v>
      </c>
      <c r="C2199" s="9" t="str">
        <f t="shared" si="45"/>
        <v>230115</v>
      </c>
      <c r="D2199" s="9" t="str">
        <f>"230901716"</f>
        <v>230901716</v>
      </c>
      <c r="E2199" s="10">
        <v>63.52</v>
      </c>
      <c r="F2199" s="10"/>
      <c r="G2199" s="10">
        <v>68.5</v>
      </c>
      <c r="H2199" s="10"/>
      <c r="I2199" s="10">
        <v>66.510000000000005</v>
      </c>
    </row>
    <row r="2200" spans="1:9" ht="21.75" customHeight="1">
      <c r="A2200" s="8" t="s">
        <v>14</v>
      </c>
      <c r="B2200" s="8" t="s">
        <v>15</v>
      </c>
      <c r="C2200" s="9" t="str">
        <f t="shared" si="45"/>
        <v>230115</v>
      </c>
      <c r="D2200" s="9" t="str">
        <f>"230902218"</f>
        <v>230902218</v>
      </c>
      <c r="E2200" s="10">
        <v>71.58</v>
      </c>
      <c r="F2200" s="10"/>
      <c r="G2200" s="10">
        <v>63</v>
      </c>
      <c r="H2200" s="10"/>
      <c r="I2200" s="10">
        <v>66.430000000000007</v>
      </c>
    </row>
    <row r="2201" spans="1:9" s="1" customFormat="1" ht="21.75" customHeight="1">
      <c r="A2201" s="8" t="s">
        <v>14</v>
      </c>
      <c r="B2201" s="8" t="s">
        <v>15</v>
      </c>
      <c r="C2201" s="9" t="str">
        <f t="shared" si="45"/>
        <v>230115</v>
      </c>
      <c r="D2201" s="9" t="str">
        <f>"230901804"</f>
        <v>230901804</v>
      </c>
      <c r="E2201" s="10">
        <v>58.02</v>
      </c>
      <c r="F2201" s="10"/>
      <c r="G2201" s="10">
        <v>72</v>
      </c>
      <c r="H2201" s="10"/>
      <c r="I2201" s="10">
        <v>66.41</v>
      </c>
    </row>
    <row r="2202" spans="1:9" ht="21.75" customHeight="1">
      <c r="A2202" s="8" t="s">
        <v>14</v>
      </c>
      <c r="B2202" s="8" t="s">
        <v>15</v>
      </c>
      <c r="C2202" s="9" t="str">
        <f t="shared" si="45"/>
        <v>230115</v>
      </c>
      <c r="D2202" s="9" t="str">
        <f>"230901803"</f>
        <v>230901803</v>
      </c>
      <c r="E2202" s="10">
        <v>61.8</v>
      </c>
      <c r="F2202" s="10"/>
      <c r="G2202" s="10">
        <v>69</v>
      </c>
      <c r="H2202" s="10"/>
      <c r="I2202" s="10">
        <v>66.12</v>
      </c>
    </row>
    <row r="2203" spans="1:9" ht="21.75" customHeight="1">
      <c r="A2203" s="8" t="s">
        <v>14</v>
      </c>
      <c r="B2203" s="8" t="s">
        <v>15</v>
      </c>
      <c r="C2203" s="9" t="str">
        <f t="shared" si="45"/>
        <v>230115</v>
      </c>
      <c r="D2203" s="9" t="str">
        <f>"230902011"</f>
        <v>230902011</v>
      </c>
      <c r="E2203" s="10">
        <v>61.69</v>
      </c>
      <c r="F2203" s="10"/>
      <c r="G2203" s="10">
        <v>69</v>
      </c>
      <c r="H2203" s="10"/>
      <c r="I2203" s="10">
        <v>66.08</v>
      </c>
    </row>
    <row r="2204" spans="1:9" ht="21.75" customHeight="1">
      <c r="A2204" s="8" t="s">
        <v>14</v>
      </c>
      <c r="B2204" s="8" t="s">
        <v>15</v>
      </c>
      <c r="C2204" s="9" t="str">
        <f t="shared" si="45"/>
        <v>230115</v>
      </c>
      <c r="D2204" s="9" t="str">
        <f>"230902207"</f>
        <v>230902207</v>
      </c>
      <c r="E2204" s="10">
        <v>53.8</v>
      </c>
      <c r="F2204" s="10"/>
      <c r="G2204" s="10">
        <v>74</v>
      </c>
      <c r="H2204" s="10"/>
      <c r="I2204" s="10">
        <v>65.92</v>
      </c>
    </row>
    <row r="2205" spans="1:9" ht="21.75" customHeight="1">
      <c r="A2205" s="8" t="s">
        <v>14</v>
      </c>
      <c r="B2205" s="8" t="s">
        <v>15</v>
      </c>
      <c r="C2205" s="9" t="str">
        <f t="shared" si="45"/>
        <v>230115</v>
      </c>
      <c r="D2205" s="9" t="str">
        <f>"230902030"</f>
        <v>230902030</v>
      </c>
      <c r="E2205" s="10">
        <v>62.74</v>
      </c>
      <c r="F2205" s="10"/>
      <c r="G2205" s="10">
        <v>68</v>
      </c>
      <c r="H2205" s="10"/>
      <c r="I2205" s="10">
        <v>65.900000000000006</v>
      </c>
    </row>
    <row r="2206" spans="1:9" s="1" customFormat="1" ht="21.75" customHeight="1">
      <c r="A2206" s="8" t="s">
        <v>14</v>
      </c>
      <c r="B2206" s="8" t="s">
        <v>15</v>
      </c>
      <c r="C2206" s="9" t="str">
        <f t="shared" si="45"/>
        <v>230115</v>
      </c>
      <c r="D2206" s="9" t="str">
        <f>"230902024"</f>
        <v>230902024</v>
      </c>
      <c r="E2206" s="10">
        <v>72.17</v>
      </c>
      <c r="F2206" s="10"/>
      <c r="G2206" s="10">
        <v>61.5</v>
      </c>
      <c r="H2206" s="10"/>
      <c r="I2206" s="10">
        <v>65.77</v>
      </c>
    </row>
    <row r="2207" spans="1:9" ht="21.75" customHeight="1">
      <c r="A2207" s="8" t="s">
        <v>14</v>
      </c>
      <c r="B2207" s="8" t="s">
        <v>15</v>
      </c>
      <c r="C2207" s="9" t="str">
        <f t="shared" si="45"/>
        <v>230115</v>
      </c>
      <c r="D2207" s="9" t="str">
        <f>"230902101"</f>
        <v>230902101</v>
      </c>
      <c r="E2207" s="10">
        <v>56.87</v>
      </c>
      <c r="F2207" s="10"/>
      <c r="G2207" s="10">
        <v>71.5</v>
      </c>
      <c r="H2207" s="10"/>
      <c r="I2207" s="10">
        <v>65.650000000000006</v>
      </c>
    </row>
    <row r="2208" spans="1:9" ht="21.75" customHeight="1">
      <c r="A2208" s="8" t="s">
        <v>14</v>
      </c>
      <c r="B2208" s="8" t="s">
        <v>15</v>
      </c>
      <c r="C2208" s="9" t="str">
        <f t="shared" si="45"/>
        <v>230115</v>
      </c>
      <c r="D2208" s="9" t="str">
        <f>"230901812"</f>
        <v>230901812</v>
      </c>
      <c r="E2208" s="10">
        <v>59.99</v>
      </c>
      <c r="F2208" s="10"/>
      <c r="G2208" s="10">
        <v>69</v>
      </c>
      <c r="H2208" s="10"/>
      <c r="I2208" s="10">
        <v>65.400000000000006</v>
      </c>
    </row>
    <row r="2209" spans="1:9" ht="21.75" customHeight="1">
      <c r="A2209" s="8" t="s">
        <v>14</v>
      </c>
      <c r="B2209" s="8" t="s">
        <v>15</v>
      </c>
      <c r="C2209" s="9" t="str">
        <f t="shared" si="45"/>
        <v>230115</v>
      </c>
      <c r="D2209" s="9" t="str">
        <f>"230902014"</f>
        <v>230902014</v>
      </c>
      <c r="E2209" s="10">
        <v>51.69</v>
      </c>
      <c r="F2209" s="10"/>
      <c r="G2209" s="10">
        <v>74</v>
      </c>
      <c r="H2209" s="10"/>
      <c r="I2209" s="10">
        <v>65.08</v>
      </c>
    </row>
    <row r="2210" spans="1:9" ht="21.75" customHeight="1">
      <c r="A2210" s="8" t="s">
        <v>14</v>
      </c>
      <c r="B2210" s="8" t="s">
        <v>15</v>
      </c>
      <c r="C2210" s="9" t="str">
        <f t="shared" si="45"/>
        <v>230115</v>
      </c>
      <c r="D2210" s="9" t="str">
        <f>"230902202"</f>
        <v>230902202</v>
      </c>
      <c r="E2210" s="10">
        <v>56.41</v>
      </c>
      <c r="F2210" s="10"/>
      <c r="G2210" s="10">
        <v>70</v>
      </c>
      <c r="H2210" s="10"/>
      <c r="I2210" s="10">
        <v>64.56</v>
      </c>
    </row>
    <row r="2211" spans="1:9" ht="21.75" customHeight="1">
      <c r="A2211" s="8" t="s">
        <v>14</v>
      </c>
      <c r="B2211" s="8" t="s">
        <v>15</v>
      </c>
      <c r="C2211" s="9" t="str">
        <f t="shared" si="45"/>
        <v>230115</v>
      </c>
      <c r="D2211" s="9" t="str">
        <f>"230901824"</f>
        <v>230901824</v>
      </c>
      <c r="E2211" s="10">
        <v>59.99</v>
      </c>
      <c r="F2211" s="10"/>
      <c r="G2211" s="10">
        <v>67.5</v>
      </c>
      <c r="H2211" s="10"/>
      <c r="I2211" s="10">
        <v>64.5</v>
      </c>
    </row>
    <row r="2212" spans="1:9" s="1" customFormat="1" ht="21.75" customHeight="1">
      <c r="A2212" s="8" t="s">
        <v>14</v>
      </c>
      <c r="B2212" s="8" t="s">
        <v>15</v>
      </c>
      <c r="C2212" s="9" t="str">
        <f t="shared" si="45"/>
        <v>230115</v>
      </c>
      <c r="D2212" s="9" t="str">
        <f>"230902121"</f>
        <v>230902121</v>
      </c>
      <c r="E2212" s="10">
        <v>54.56</v>
      </c>
      <c r="F2212" s="10"/>
      <c r="G2212" s="10">
        <v>71</v>
      </c>
      <c r="H2212" s="10"/>
      <c r="I2212" s="10">
        <v>64.42</v>
      </c>
    </row>
    <row r="2213" spans="1:9" ht="21.75" customHeight="1">
      <c r="A2213" s="8" t="s">
        <v>14</v>
      </c>
      <c r="B2213" s="8" t="s">
        <v>15</v>
      </c>
      <c r="C2213" s="9" t="str">
        <f t="shared" si="45"/>
        <v>230115</v>
      </c>
      <c r="D2213" s="9" t="str">
        <f>"230902110"</f>
        <v>230902110</v>
      </c>
      <c r="E2213" s="10">
        <v>52.62</v>
      </c>
      <c r="F2213" s="10"/>
      <c r="G2213" s="10">
        <v>72</v>
      </c>
      <c r="H2213" s="10"/>
      <c r="I2213" s="10">
        <v>64.25</v>
      </c>
    </row>
    <row r="2214" spans="1:9" ht="21.75" customHeight="1">
      <c r="A2214" s="8" t="s">
        <v>14</v>
      </c>
      <c r="B2214" s="8" t="s">
        <v>15</v>
      </c>
      <c r="C2214" s="9" t="str">
        <f t="shared" si="45"/>
        <v>230115</v>
      </c>
      <c r="D2214" s="9" t="str">
        <f>"230901819"</f>
        <v>230901819</v>
      </c>
      <c r="E2214" s="10">
        <v>58.94</v>
      </c>
      <c r="F2214" s="10"/>
      <c r="G2214" s="10">
        <v>67.5</v>
      </c>
      <c r="H2214" s="10"/>
      <c r="I2214" s="10">
        <v>64.08</v>
      </c>
    </row>
    <row r="2215" spans="1:9" ht="21.75" customHeight="1">
      <c r="A2215" s="8" t="s">
        <v>14</v>
      </c>
      <c r="B2215" s="8" t="s">
        <v>15</v>
      </c>
      <c r="C2215" s="9" t="str">
        <f t="shared" ref="C2215:C2246" si="46">"230115"</f>
        <v>230115</v>
      </c>
      <c r="D2215" s="9" t="str">
        <f>"230901906"</f>
        <v>230901906</v>
      </c>
      <c r="E2215" s="10">
        <v>48.01</v>
      </c>
      <c r="F2215" s="10"/>
      <c r="G2215" s="10">
        <v>74.5</v>
      </c>
      <c r="H2215" s="10"/>
      <c r="I2215" s="10">
        <v>63.9</v>
      </c>
    </row>
    <row r="2216" spans="1:9" ht="21.75" customHeight="1">
      <c r="A2216" s="8" t="s">
        <v>14</v>
      </c>
      <c r="B2216" s="8" t="s">
        <v>15</v>
      </c>
      <c r="C2216" s="9" t="str">
        <f t="shared" si="46"/>
        <v>230115</v>
      </c>
      <c r="D2216" s="9" t="str">
        <f>"230901719"</f>
        <v>230901719</v>
      </c>
      <c r="E2216" s="10">
        <v>64.45</v>
      </c>
      <c r="F2216" s="10"/>
      <c r="G2216" s="10">
        <v>63</v>
      </c>
      <c r="H2216" s="10"/>
      <c r="I2216" s="10">
        <v>63.58</v>
      </c>
    </row>
    <row r="2217" spans="1:9" ht="21.75" customHeight="1">
      <c r="A2217" s="8" t="s">
        <v>14</v>
      </c>
      <c r="B2217" s="8" t="s">
        <v>15</v>
      </c>
      <c r="C2217" s="9" t="str">
        <f t="shared" si="46"/>
        <v>230115</v>
      </c>
      <c r="D2217" s="9" t="str">
        <f>"230902108"</f>
        <v>230902108</v>
      </c>
      <c r="E2217" s="10">
        <v>53.19</v>
      </c>
      <c r="F2217" s="10"/>
      <c r="G2217" s="10">
        <v>69.5</v>
      </c>
      <c r="H2217" s="10"/>
      <c r="I2217" s="10">
        <v>62.98</v>
      </c>
    </row>
    <row r="2218" spans="1:9" s="1" customFormat="1" ht="21.75" customHeight="1">
      <c r="A2218" s="8" t="s">
        <v>14</v>
      </c>
      <c r="B2218" s="8" t="s">
        <v>15</v>
      </c>
      <c r="C2218" s="9" t="str">
        <f t="shared" si="46"/>
        <v>230115</v>
      </c>
      <c r="D2218" s="9" t="str">
        <f>"230901728"</f>
        <v>230901728</v>
      </c>
      <c r="E2218" s="10">
        <v>50.87</v>
      </c>
      <c r="F2218" s="10"/>
      <c r="G2218" s="10">
        <v>71</v>
      </c>
      <c r="H2218" s="10"/>
      <c r="I2218" s="10">
        <v>62.95</v>
      </c>
    </row>
    <row r="2219" spans="1:9" s="1" customFormat="1" ht="21.75" customHeight="1">
      <c r="A2219" s="8" t="s">
        <v>14</v>
      </c>
      <c r="B2219" s="8" t="s">
        <v>15</v>
      </c>
      <c r="C2219" s="9" t="str">
        <f t="shared" si="46"/>
        <v>230115</v>
      </c>
      <c r="D2219" s="9" t="str">
        <f>"230902211"</f>
        <v>230902211</v>
      </c>
      <c r="E2219" s="10">
        <v>53.45</v>
      </c>
      <c r="F2219" s="10"/>
      <c r="G2219" s="10">
        <v>69</v>
      </c>
      <c r="H2219" s="10"/>
      <c r="I2219" s="10">
        <v>62.78</v>
      </c>
    </row>
    <row r="2220" spans="1:9" s="1" customFormat="1" ht="21.75" customHeight="1">
      <c r="A2220" s="8" t="s">
        <v>14</v>
      </c>
      <c r="B2220" s="8" t="s">
        <v>15</v>
      </c>
      <c r="C2220" s="9" t="str">
        <f t="shared" si="46"/>
        <v>230115</v>
      </c>
      <c r="D2220" s="9" t="str">
        <f>"230901928"</f>
        <v>230901928</v>
      </c>
      <c r="E2220" s="10">
        <v>56.77</v>
      </c>
      <c r="F2220" s="10"/>
      <c r="G2220" s="10">
        <v>65.5</v>
      </c>
      <c r="H2220" s="10"/>
      <c r="I2220" s="10">
        <v>62.01</v>
      </c>
    </row>
    <row r="2221" spans="1:9" ht="21.75" customHeight="1">
      <c r="A2221" s="8" t="s">
        <v>14</v>
      </c>
      <c r="B2221" s="8" t="s">
        <v>15</v>
      </c>
      <c r="C2221" s="9" t="str">
        <f t="shared" si="46"/>
        <v>230115</v>
      </c>
      <c r="D2221" s="9" t="str">
        <f>"230901828"</f>
        <v>230901828</v>
      </c>
      <c r="E2221" s="10">
        <v>55.82</v>
      </c>
      <c r="F2221" s="10"/>
      <c r="G2221" s="10">
        <v>66</v>
      </c>
      <c r="H2221" s="10"/>
      <c r="I2221" s="10">
        <v>61.93</v>
      </c>
    </row>
    <row r="2222" spans="1:9" ht="21.75" customHeight="1">
      <c r="A2222" s="8" t="s">
        <v>14</v>
      </c>
      <c r="B2222" s="8" t="s">
        <v>15</v>
      </c>
      <c r="C2222" s="9" t="str">
        <f t="shared" si="46"/>
        <v>230115</v>
      </c>
      <c r="D2222" s="9" t="str">
        <f>"230902016"</f>
        <v>230902016</v>
      </c>
      <c r="E2222" s="10">
        <v>69.62</v>
      </c>
      <c r="F2222" s="10"/>
      <c r="G2222" s="10">
        <v>56</v>
      </c>
      <c r="H2222" s="10"/>
      <c r="I2222" s="10">
        <v>61.45</v>
      </c>
    </row>
    <row r="2223" spans="1:9" ht="21.75" customHeight="1">
      <c r="A2223" s="8" t="s">
        <v>14</v>
      </c>
      <c r="B2223" s="8" t="s">
        <v>15</v>
      </c>
      <c r="C2223" s="9" t="str">
        <f t="shared" si="46"/>
        <v>230115</v>
      </c>
      <c r="D2223" s="9" t="str">
        <f>"230901729"</f>
        <v>230901729</v>
      </c>
      <c r="E2223" s="10">
        <v>43.24</v>
      </c>
      <c r="F2223" s="10"/>
      <c r="G2223" s="10">
        <v>73</v>
      </c>
      <c r="H2223" s="10"/>
      <c r="I2223" s="10">
        <v>61.1</v>
      </c>
    </row>
    <row r="2224" spans="1:9" s="1" customFormat="1" ht="21.75" customHeight="1">
      <c r="A2224" s="8" t="s">
        <v>14</v>
      </c>
      <c r="B2224" s="8" t="s">
        <v>15</v>
      </c>
      <c r="C2224" s="9" t="str">
        <f t="shared" si="46"/>
        <v>230115</v>
      </c>
      <c r="D2224" s="9" t="str">
        <f>"230901919"</f>
        <v>230901919</v>
      </c>
      <c r="E2224" s="10">
        <v>61.02</v>
      </c>
      <c r="F2224" s="10"/>
      <c r="G2224" s="10">
        <v>61</v>
      </c>
      <c r="H2224" s="10"/>
      <c r="I2224" s="10">
        <v>61.01</v>
      </c>
    </row>
    <row r="2225" spans="1:9" s="1" customFormat="1" ht="21.75" customHeight="1">
      <c r="A2225" s="8" t="s">
        <v>14</v>
      </c>
      <c r="B2225" s="8" t="s">
        <v>15</v>
      </c>
      <c r="C2225" s="9" t="str">
        <f t="shared" si="46"/>
        <v>230115</v>
      </c>
      <c r="D2225" s="9" t="str">
        <f>"230902018"</f>
        <v>230902018</v>
      </c>
      <c r="E2225" s="10">
        <v>58.91</v>
      </c>
      <c r="F2225" s="10"/>
      <c r="G2225" s="10">
        <v>61</v>
      </c>
      <c r="H2225" s="10"/>
      <c r="I2225" s="10">
        <v>60.16</v>
      </c>
    </row>
    <row r="2226" spans="1:9" s="1" customFormat="1" ht="21.75" customHeight="1">
      <c r="A2226" s="8" t="s">
        <v>14</v>
      </c>
      <c r="B2226" s="8" t="s">
        <v>15</v>
      </c>
      <c r="C2226" s="9" t="str">
        <f t="shared" si="46"/>
        <v>230115</v>
      </c>
      <c r="D2226" s="9" t="str">
        <f>"230901811"</f>
        <v>230901811</v>
      </c>
      <c r="E2226" s="10">
        <v>55.76</v>
      </c>
      <c r="F2226" s="10"/>
      <c r="G2226" s="10">
        <v>62.5</v>
      </c>
      <c r="H2226" s="10"/>
      <c r="I2226" s="10">
        <v>59.8</v>
      </c>
    </row>
    <row r="2227" spans="1:9" s="1" customFormat="1" ht="21.75" customHeight="1">
      <c r="A2227" s="8" t="s">
        <v>14</v>
      </c>
      <c r="B2227" s="8" t="s">
        <v>15</v>
      </c>
      <c r="C2227" s="9" t="str">
        <f t="shared" si="46"/>
        <v>230115</v>
      </c>
      <c r="D2227" s="9" t="str">
        <f>"230902109"</f>
        <v>230902109</v>
      </c>
      <c r="E2227" s="10">
        <v>48.81</v>
      </c>
      <c r="F2227" s="10"/>
      <c r="G2227" s="10">
        <v>66.5</v>
      </c>
      <c r="H2227" s="10"/>
      <c r="I2227" s="10">
        <v>59.42</v>
      </c>
    </row>
    <row r="2228" spans="1:9" ht="21.75" customHeight="1">
      <c r="A2228" s="8" t="s">
        <v>14</v>
      </c>
      <c r="B2228" s="8" t="s">
        <v>15</v>
      </c>
      <c r="C2228" s="9" t="str">
        <f t="shared" si="46"/>
        <v>230115</v>
      </c>
      <c r="D2228" s="9" t="str">
        <f>"230902224"</f>
        <v>230902224</v>
      </c>
      <c r="E2228" s="10">
        <v>54.81</v>
      </c>
      <c r="F2228" s="10"/>
      <c r="G2228" s="10">
        <v>60.5</v>
      </c>
      <c r="H2228" s="10"/>
      <c r="I2228" s="10">
        <v>58.22</v>
      </c>
    </row>
    <row r="2229" spans="1:9" s="1" customFormat="1" ht="21.75" customHeight="1">
      <c r="A2229" s="8" t="s">
        <v>14</v>
      </c>
      <c r="B2229" s="8" t="s">
        <v>15</v>
      </c>
      <c r="C2229" s="9" t="str">
        <f t="shared" si="46"/>
        <v>230115</v>
      </c>
      <c r="D2229" s="9" t="str">
        <f>"230902106"</f>
        <v>230902106</v>
      </c>
      <c r="E2229" s="10">
        <v>44.8</v>
      </c>
      <c r="F2229" s="10"/>
      <c r="G2229" s="10">
        <v>65.5</v>
      </c>
      <c r="H2229" s="10"/>
      <c r="I2229" s="10">
        <v>57.22</v>
      </c>
    </row>
    <row r="2230" spans="1:9" ht="21.75" customHeight="1">
      <c r="A2230" s="8" t="s">
        <v>14</v>
      </c>
      <c r="B2230" s="8" t="s">
        <v>15</v>
      </c>
      <c r="C2230" s="9" t="str">
        <f t="shared" si="46"/>
        <v>230115</v>
      </c>
      <c r="D2230" s="9" t="str">
        <f>"230901720"</f>
        <v>230901720</v>
      </c>
      <c r="E2230" s="10">
        <v>0</v>
      </c>
      <c r="F2230" s="10"/>
      <c r="G2230" s="10">
        <v>0</v>
      </c>
      <c r="H2230" s="10"/>
      <c r="I2230" s="10">
        <v>0</v>
      </c>
    </row>
    <row r="2231" spans="1:9" s="1" customFormat="1" ht="21.75" customHeight="1">
      <c r="A2231" s="8" t="s">
        <v>14</v>
      </c>
      <c r="B2231" s="8" t="s">
        <v>15</v>
      </c>
      <c r="C2231" s="9" t="str">
        <f t="shared" si="46"/>
        <v>230115</v>
      </c>
      <c r="D2231" s="9" t="str">
        <f>"230901725"</f>
        <v>230901725</v>
      </c>
      <c r="E2231" s="10">
        <v>0</v>
      </c>
      <c r="F2231" s="10"/>
      <c r="G2231" s="10">
        <v>0</v>
      </c>
      <c r="H2231" s="10"/>
      <c r="I2231" s="10">
        <v>0</v>
      </c>
    </row>
    <row r="2232" spans="1:9" ht="21.75" customHeight="1">
      <c r="A2232" s="8" t="s">
        <v>14</v>
      </c>
      <c r="B2232" s="8" t="s">
        <v>15</v>
      </c>
      <c r="C2232" s="9" t="str">
        <f t="shared" si="46"/>
        <v>230115</v>
      </c>
      <c r="D2232" s="9" t="str">
        <f>"230901727"</f>
        <v>230901727</v>
      </c>
      <c r="E2232" s="10">
        <v>0</v>
      </c>
      <c r="F2232" s="10"/>
      <c r="G2232" s="10">
        <v>0</v>
      </c>
      <c r="H2232" s="10"/>
      <c r="I2232" s="10">
        <v>0</v>
      </c>
    </row>
    <row r="2233" spans="1:9" ht="21.75" customHeight="1">
      <c r="A2233" s="8" t="s">
        <v>14</v>
      </c>
      <c r="B2233" s="8" t="s">
        <v>15</v>
      </c>
      <c r="C2233" s="9" t="str">
        <f t="shared" si="46"/>
        <v>230115</v>
      </c>
      <c r="D2233" s="9" t="str">
        <f>"230901801"</f>
        <v>230901801</v>
      </c>
      <c r="E2233" s="10">
        <v>0</v>
      </c>
      <c r="F2233" s="10"/>
      <c r="G2233" s="10">
        <v>0</v>
      </c>
      <c r="H2233" s="10"/>
      <c r="I2233" s="10">
        <v>0</v>
      </c>
    </row>
    <row r="2234" spans="1:9" ht="21.75" customHeight="1">
      <c r="A2234" s="8" t="s">
        <v>14</v>
      </c>
      <c r="B2234" s="8" t="s">
        <v>15</v>
      </c>
      <c r="C2234" s="9" t="str">
        <f t="shared" si="46"/>
        <v>230115</v>
      </c>
      <c r="D2234" s="9" t="str">
        <f>"230901802"</f>
        <v>230901802</v>
      </c>
      <c r="E2234" s="10">
        <v>0</v>
      </c>
      <c r="F2234" s="10"/>
      <c r="G2234" s="10">
        <v>0</v>
      </c>
      <c r="H2234" s="10"/>
      <c r="I2234" s="10">
        <v>0</v>
      </c>
    </row>
    <row r="2235" spans="1:9" s="1" customFormat="1" ht="21.75" customHeight="1">
      <c r="A2235" s="8" t="s">
        <v>14</v>
      </c>
      <c r="B2235" s="8" t="s">
        <v>15</v>
      </c>
      <c r="C2235" s="9" t="str">
        <f t="shared" si="46"/>
        <v>230115</v>
      </c>
      <c r="D2235" s="9" t="str">
        <f>"230901805"</f>
        <v>230901805</v>
      </c>
      <c r="E2235" s="10">
        <v>0</v>
      </c>
      <c r="F2235" s="10"/>
      <c r="G2235" s="10">
        <v>0</v>
      </c>
      <c r="H2235" s="10"/>
      <c r="I2235" s="10">
        <v>0</v>
      </c>
    </row>
    <row r="2236" spans="1:9" ht="21.75" customHeight="1">
      <c r="A2236" s="8" t="s">
        <v>14</v>
      </c>
      <c r="B2236" s="8" t="s">
        <v>15</v>
      </c>
      <c r="C2236" s="9" t="str">
        <f t="shared" si="46"/>
        <v>230115</v>
      </c>
      <c r="D2236" s="9" t="str">
        <f>"230901808"</f>
        <v>230901808</v>
      </c>
      <c r="E2236" s="10">
        <v>0</v>
      </c>
      <c r="F2236" s="10"/>
      <c r="G2236" s="10">
        <v>0</v>
      </c>
      <c r="H2236" s="10"/>
      <c r="I2236" s="10">
        <v>0</v>
      </c>
    </row>
    <row r="2237" spans="1:9" ht="21.75" customHeight="1">
      <c r="A2237" s="8" t="s">
        <v>14</v>
      </c>
      <c r="B2237" s="8" t="s">
        <v>15</v>
      </c>
      <c r="C2237" s="9" t="str">
        <f t="shared" si="46"/>
        <v>230115</v>
      </c>
      <c r="D2237" s="9" t="str">
        <f>"230901815"</f>
        <v>230901815</v>
      </c>
      <c r="E2237" s="10">
        <v>0</v>
      </c>
      <c r="F2237" s="10"/>
      <c r="G2237" s="10">
        <v>0</v>
      </c>
      <c r="H2237" s="10"/>
      <c r="I2237" s="10">
        <v>0</v>
      </c>
    </row>
    <row r="2238" spans="1:9" s="1" customFormat="1" ht="21.75" customHeight="1">
      <c r="A2238" s="8" t="s">
        <v>14</v>
      </c>
      <c r="B2238" s="8" t="s">
        <v>15</v>
      </c>
      <c r="C2238" s="9" t="str">
        <f t="shared" si="46"/>
        <v>230115</v>
      </c>
      <c r="D2238" s="9" t="str">
        <f>"230901818"</f>
        <v>230901818</v>
      </c>
      <c r="E2238" s="10">
        <v>0</v>
      </c>
      <c r="F2238" s="10"/>
      <c r="G2238" s="10">
        <v>0</v>
      </c>
      <c r="H2238" s="10"/>
      <c r="I2238" s="10">
        <v>0</v>
      </c>
    </row>
    <row r="2239" spans="1:9" ht="21.75" customHeight="1">
      <c r="A2239" s="8" t="s">
        <v>14</v>
      </c>
      <c r="B2239" s="8" t="s">
        <v>15</v>
      </c>
      <c r="C2239" s="9" t="str">
        <f t="shared" si="46"/>
        <v>230115</v>
      </c>
      <c r="D2239" s="9" t="str">
        <f>"230901823"</f>
        <v>230901823</v>
      </c>
      <c r="E2239" s="10">
        <v>0</v>
      </c>
      <c r="F2239" s="10"/>
      <c r="G2239" s="10">
        <v>0</v>
      </c>
      <c r="H2239" s="10"/>
      <c r="I2239" s="10">
        <v>0</v>
      </c>
    </row>
    <row r="2240" spans="1:9" s="1" customFormat="1" ht="21.75" customHeight="1">
      <c r="A2240" s="8" t="s">
        <v>14</v>
      </c>
      <c r="B2240" s="8" t="s">
        <v>15</v>
      </c>
      <c r="C2240" s="9" t="str">
        <f t="shared" si="46"/>
        <v>230115</v>
      </c>
      <c r="D2240" s="9" t="str">
        <f>"230901826"</f>
        <v>230901826</v>
      </c>
      <c r="E2240" s="10">
        <v>0</v>
      </c>
      <c r="F2240" s="10"/>
      <c r="G2240" s="10">
        <v>0</v>
      </c>
      <c r="H2240" s="10"/>
      <c r="I2240" s="10">
        <v>0</v>
      </c>
    </row>
    <row r="2241" spans="1:9" ht="21.75" customHeight="1">
      <c r="A2241" s="8" t="s">
        <v>14</v>
      </c>
      <c r="B2241" s="8" t="s">
        <v>15</v>
      </c>
      <c r="C2241" s="9" t="str">
        <f t="shared" si="46"/>
        <v>230115</v>
      </c>
      <c r="D2241" s="9" t="str">
        <f>"230901901"</f>
        <v>230901901</v>
      </c>
      <c r="E2241" s="10">
        <v>0</v>
      </c>
      <c r="F2241" s="10"/>
      <c r="G2241" s="10">
        <v>0</v>
      </c>
      <c r="H2241" s="10"/>
      <c r="I2241" s="10">
        <v>0</v>
      </c>
    </row>
    <row r="2242" spans="1:9" ht="21.75" customHeight="1">
      <c r="A2242" s="8" t="s">
        <v>14</v>
      </c>
      <c r="B2242" s="8" t="s">
        <v>15</v>
      </c>
      <c r="C2242" s="9" t="str">
        <f t="shared" si="46"/>
        <v>230115</v>
      </c>
      <c r="D2242" s="9" t="str">
        <f>"230901903"</f>
        <v>230901903</v>
      </c>
      <c r="E2242" s="10">
        <v>0</v>
      </c>
      <c r="F2242" s="10"/>
      <c r="G2242" s="10">
        <v>0</v>
      </c>
      <c r="H2242" s="10"/>
      <c r="I2242" s="10">
        <v>0</v>
      </c>
    </row>
    <row r="2243" spans="1:9" ht="21.75" customHeight="1">
      <c r="A2243" s="8" t="s">
        <v>14</v>
      </c>
      <c r="B2243" s="8" t="s">
        <v>15</v>
      </c>
      <c r="C2243" s="9" t="str">
        <f t="shared" si="46"/>
        <v>230115</v>
      </c>
      <c r="D2243" s="9" t="str">
        <f>"230901905"</f>
        <v>230901905</v>
      </c>
      <c r="E2243" s="10">
        <v>0</v>
      </c>
      <c r="F2243" s="10"/>
      <c r="G2243" s="10">
        <v>0</v>
      </c>
      <c r="H2243" s="10"/>
      <c r="I2243" s="10">
        <v>0</v>
      </c>
    </row>
    <row r="2244" spans="1:9" ht="21.75" customHeight="1">
      <c r="A2244" s="8" t="s">
        <v>14</v>
      </c>
      <c r="B2244" s="8" t="s">
        <v>15</v>
      </c>
      <c r="C2244" s="9" t="str">
        <f t="shared" si="46"/>
        <v>230115</v>
      </c>
      <c r="D2244" s="9" t="str">
        <f>"230901908"</f>
        <v>230901908</v>
      </c>
      <c r="E2244" s="10">
        <v>0</v>
      </c>
      <c r="F2244" s="10"/>
      <c r="G2244" s="10">
        <v>0</v>
      </c>
      <c r="H2244" s="10"/>
      <c r="I2244" s="10">
        <v>0</v>
      </c>
    </row>
    <row r="2245" spans="1:9" s="1" customFormat="1" ht="21.75" customHeight="1">
      <c r="A2245" s="8" t="s">
        <v>14</v>
      </c>
      <c r="B2245" s="8" t="s">
        <v>15</v>
      </c>
      <c r="C2245" s="9" t="str">
        <f t="shared" si="46"/>
        <v>230115</v>
      </c>
      <c r="D2245" s="9" t="str">
        <f>"230901909"</f>
        <v>230901909</v>
      </c>
      <c r="E2245" s="10">
        <v>0</v>
      </c>
      <c r="F2245" s="10"/>
      <c r="G2245" s="10">
        <v>0</v>
      </c>
      <c r="H2245" s="10"/>
      <c r="I2245" s="10">
        <v>0</v>
      </c>
    </row>
    <row r="2246" spans="1:9" ht="21.75" customHeight="1">
      <c r="A2246" s="8" t="s">
        <v>14</v>
      </c>
      <c r="B2246" s="8" t="s">
        <v>15</v>
      </c>
      <c r="C2246" s="9" t="str">
        <f t="shared" si="46"/>
        <v>230115</v>
      </c>
      <c r="D2246" s="9" t="str">
        <f>"230901911"</f>
        <v>230901911</v>
      </c>
      <c r="E2246" s="10">
        <v>0</v>
      </c>
      <c r="F2246" s="10"/>
      <c r="G2246" s="10">
        <v>0</v>
      </c>
      <c r="H2246" s="10"/>
      <c r="I2246" s="10">
        <v>0</v>
      </c>
    </row>
    <row r="2247" spans="1:9" ht="21.75" customHeight="1">
      <c r="A2247" s="8" t="s">
        <v>14</v>
      </c>
      <c r="B2247" s="8" t="s">
        <v>15</v>
      </c>
      <c r="C2247" s="9" t="str">
        <f t="shared" ref="C2247:C2280" si="47">"230115"</f>
        <v>230115</v>
      </c>
      <c r="D2247" s="9" t="str">
        <f>"230901914"</f>
        <v>230901914</v>
      </c>
      <c r="E2247" s="10">
        <v>0</v>
      </c>
      <c r="F2247" s="10"/>
      <c r="G2247" s="10">
        <v>0</v>
      </c>
      <c r="H2247" s="10"/>
      <c r="I2247" s="10">
        <v>0</v>
      </c>
    </row>
    <row r="2248" spans="1:9" ht="21.75" customHeight="1">
      <c r="A2248" s="8" t="s">
        <v>14</v>
      </c>
      <c r="B2248" s="8" t="s">
        <v>15</v>
      </c>
      <c r="C2248" s="9" t="str">
        <f t="shared" si="47"/>
        <v>230115</v>
      </c>
      <c r="D2248" s="9" t="str">
        <f>"230901915"</f>
        <v>230901915</v>
      </c>
      <c r="E2248" s="10">
        <v>0</v>
      </c>
      <c r="F2248" s="10"/>
      <c r="G2248" s="10">
        <v>0</v>
      </c>
      <c r="H2248" s="10"/>
      <c r="I2248" s="10">
        <v>0</v>
      </c>
    </row>
    <row r="2249" spans="1:9" ht="21.75" customHeight="1">
      <c r="A2249" s="8" t="s">
        <v>14</v>
      </c>
      <c r="B2249" s="8" t="s">
        <v>15</v>
      </c>
      <c r="C2249" s="9" t="str">
        <f t="shared" si="47"/>
        <v>230115</v>
      </c>
      <c r="D2249" s="9" t="str">
        <f>"230901917"</f>
        <v>230901917</v>
      </c>
      <c r="E2249" s="10">
        <v>0</v>
      </c>
      <c r="F2249" s="10"/>
      <c r="G2249" s="10">
        <v>0</v>
      </c>
      <c r="H2249" s="10"/>
      <c r="I2249" s="10">
        <v>0</v>
      </c>
    </row>
    <row r="2250" spans="1:9" s="1" customFormat="1" ht="21.75" customHeight="1">
      <c r="A2250" s="8" t="s">
        <v>14</v>
      </c>
      <c r="B2250" s="8" t="s">
        <v>15</v>
      </c>
      <c r="C2250" s="9" t="str">
        <f t="shared" si="47"/>
        <v>230115</v>
      </c>
      <c r="D2250" s="9" t="str">
        <f>"230901923"</f>
        <v>230901923</v>
      </c>
      <c r="E2250" s="10">
        <v>0</v>
      </c>
      <c r="F2250" s="10"/>
      <c r="G2250" s="10">
        <v>0</v>
      </c>
      <c r="H2250" s="10"/>
      <c r="I2250" s="10">
        <v>0</v>
      </c>
    </row>
    <row r="2251" spans="1:9" s="1" customFormat="1" ht="21.75" customHeight="1">
      <c r="A2251" s="8" t="s">
        <v>14</v>
      </c>
      <c r="B2251" s="8" t="s">
        <v>15</v>
      </c>
      <c r="C2251" s="9" t="str">
        <f t="shared" si="47"/>
        <v>230115</v>
      </c>
      <c r="D2251" s="9" t="str">
        <f>"230902002"</f>
        <v>230902002</v>
      </c>
      <c r="E2251" s="10">
        <v>0</v>
      </c>
      <c r="F2251" s="10"/>
      <c r="G2251" s="10">
        <v>0</v>
      </c>
      <c r="H2251" s="10"/>
      <c r="I2251" s="10">
        <v>0</v>
      </c>
    </row>
    <row r="2252" spans="1:9" s="1" customFormat="1" ht="21.75" customHeight="1">
      <c r="A2252" s="8" t="s">
        <v>14</v>
      </c>
      <c r="B2252" s="8" t="s">
        <v>15</v>
      </c>
      <c r="C2252" s="9" t="str">
        <f t="shared" si="47"/>
        <v>230115</v>
      </c>
      <c r="D2252" s="9" t="str">
        <f>"230902003"</f>
        <v>230902003</v>
      </c>
      <c r="E2252" s="10">
        <v>0</v>
      </c>
      <c r="F2252" s="10"/>
      <c r="G2252" s="10">
        <v>0</v>
      </c>
      <c r="H2252" s="10"/>
      <c r="I2252" s="10">
        <v>0</v>
      </c>
    </row>
    <row r="2253" spans="1:9" ht="21.75" customHeight="1">
      <c r="A2253" s="8" t="s">
        <v>14</v>
      </c>
      <c r="B2253" s="8" t="s">
        <v>15</v>
      </c>
      <c r="C2253" s="9" t="str">
        <f t="shared" si="47"/>
        <v>230115</v>
      </c>
      <c r="D2253" s="9" t="str">
        <f>"230902004"</f>
        <v>230902004</v>
      </c>
      <c r="E2253" s="10">
        <v>0</v>
      </c>
      <c r="F2253" s="10"/>
      <c r="G2253" s="10">
        <v>0</v>
      </c>
      <c r="H2253" s="10"/>
      <c r="I2253" s="10">
        <v>0</v>
      </c>
    </row>
    <row r="2254" spans="1:9" ht="21.75" customHeight="1">
      <c r="A2254" s="8" t="s">
        <v>14</v>
      </c>
      <c r="B2254" s="8" t="s">
        <v>15</v>
      </c>
      <c r="C2254" s="9" t="str">
        <f t="shared" si="47"/>
        <v>230115</v>
      </c>
      <c r="D2254" s="9" t="str">
        <f>"230902005"</f>
        <v>230902005</v>
      </c>
      <c r="E2254" s="10">
        <v>0</v>
      </c>
      <c r="F2254" s="10"/>
      <c r="G2254" s="10">
        <v>0</v>
      </c>
      <c r="H2254" s="10"/>
      <c r="I2254" s="10">
        <v>0</v>
      </c>
    </row>
    <row r="2255" spans="1:9" s="1" customFormat="1" ht="21.75" customHeight="1">
      <c r="A2255" s="8" t="s">
        <v>14</v>
      </c>
      <c r="B2255" s="8" t="s">
        <v>15</v>
      </c>
      <c r="C2255" s="9" t="str">
        <f t="shared" si="47"/>
        <v>230115</v>
      </c>
      <c r="D2255" s="9" t="str">
        <f>"230902008"</f>
        <v>230902008</v>
      </c>
      <c r="E2255" s="10">
        <v>0</v>
      </c>
      <c r="F2255" s="10"/>
      <c r="G2255" s="10">
        <v>0</v>
      </c>
      <c r="H2255" s="10"/>
      <c r="I2255" s="10">
        <v>0</v>
      </c>
    </row>
    <row r="2256" spans="1:9" ht="21.75" customHeight="1">
      <c r="A2256" s="8" t="s">
        <v>14</v>
      </c>
      <c r="B2256" s="8" t="s">
        <v>15</v>
      </c>
      <c r="C2256" s="9" t="str">
        <f t="shared" si="47"/>
        <v>230115</v>
      </c>
      <c r="D2256" s="9" t="str">
        <f>"230902009"</f>
        <v>230902009</v>
      </c>
      <c r="E2256" s="10">
        <v>0</v>
      </c>
      <c r="F2256" s="10"/>
      <c r="G2256" s="10">
        <v>0</v>
      </c>
      <c r="H2256" s="10"/>
      <c r="I2256" s="10">
        <v>0</v>
      </c>
    </row>
    <row r="2257" spans="1:9" s="1" customFormat="1" ht="21.75" customHeight="1">
      <c r="A2257" s="8" t="s">
        <v>14</v>
      </c>
      <c r="B2257" s="8" t="s">
        <v>15</v>
      </c>
      <c r="C2257" s="9" t="str">
        <f t="shared" si="47"/>
        <v>230115</v>
      </c>
      <c r="D2257" s="9" t="str">
        <f>"230902010"</f>
        <v>230902010</v>
      </c>
      <c r="E2257" s="10">
        <v>0</v>
      </c>
      <c r="F2257" s="10"/>
      <c r="G2257" s="10">
        <v>0</v>
      </c>
      <c r="H2257" s="10"/>
      <c r="I2257" s="10">
        <v>0</v>
      </c>
    </row>
    <row r="2258" spans="1:9" ht="21.75" customHeight="1">
      <c r="A2258" s="8" t="s">
        <v>14</v>
      </c>
      <c r="B2258" s="8" t="s">
        <v>15</v>
      </c>
      <c r="C2258" s="9" t="str">
        <f t="shared" si="47"/>
        <v>230115</v>
      </c>
      <c r="D2258" s="9" t="str">
        <f>"230902017"</f>
        <v>230902017</v>
      </c>
      <c r="E2258" s="10">
        <v>0</v>
      </c>
      <c r="F2258" s="10"/>
      <c r="G2258" s="10">
        <v>0</v>
      </c>
      <c r="H2258" s="10"/>
      <c r="I2258" s="10">
        <v>0</v>
      </c>
    </row>
    <row r="2259" spans="1:9" ht="21.75" customHeight="1">
      <c r="A2259" s="8" t="s">
        <v>14</v>
      </c>
      <c r="B2259" s="8" t="s">
        <v>15</v>
      </c>
      <c r="C2259" s="9" t="str">
        <f t="shared" si="47"/>
        <v>230115</v>
      </c>
      <c r="D2259" s="9" t="str">
        <f>"230902020"</f>
        <v>230902020</v>
      </c>
      <c r="E2259" s="10">
        <v>0</v>
      </c>
      <c r="F2259" s="10"/>
      <c r="G2259" s="10">
        <v>0</v>
      </c>
      <c r="H2259" s="10"/>
      <c r="I2259" s="10">
        <v>0</v>
      </c>
    </row>
    <row r="2260" spans="1:9" ht="21.75" customHeight="1">
      <c r="A2260" s="8" t="s">
        <v>14</v>
      </c>
      <c r="B2260" s="8" t="s">
        <v>15</v>
      </c>
      <c r="C2260" s="9" t="str">
        <f t="shared" si="47"/>
        <v>230115</v>
      </c>
      <c r="D2260" s="9" t="str">
        <f>"230902029"</f>
        <v>230902029</v>
      </c>
      <c r="E2260" s="10">
        <v>0</v>
      </c>
      <c r="F2260" s="10"/>
      <c r="G2260" s="10">
        <v>0</v>
      </c>
      <c r="H2260" s="10"/>
      <c r="I2260" s="10">
        <v>0</v>
      </c>
    </row>
    <row r="2261" spans="1:9" ht="21.75" customHeight="1">
      <c r="A2261" s="8" t="s">
        <v>14</v>
      </c>
      <c r="B2261" s="8" t="s">
        <v>15</v>
      </c>
      <c r="C2261" s="9" t="str">
        <f t="shared" si="47"/>
        <v>230115</v>
      </c>
      <c r="D2261" s="9" t="str">
        <f>"230902105"</f>
        <v>230902105</v>
      </c>
      <c r="E2261" s="10">
        <v>0</v>
      </c>
      <c r="F2261" s="10"/>
      <c r="G2261" s="10">
        <v>0</v>
      </c>
      <c r="H2261" s="10"/>
      <c r="I2261" s="10">
        <v>0</v>
      </c>
    </row>
    <row r="2262" spans="1:9" ht="21.75" customHeight="1">
      <c r="A2262" s="8" t="s">
        <v>14</v>
      </c>
      <c r="B2262" s="8" t="s">
        <v>15</v>
      </c>
      <c r="C2262" s="9" t="str">
        <f t="shared" si="47"/>
        <v>230115</v>
      </c>
      <c r="D2262" s="9" t="str">
        <f>"230902112"</f>
        <v>230902112</v>
      </c>
      <c r="E2262" s="10">
        <v>0</v>
      </c>
      <c r="F2262" s="10"/>
      <c r="G2262" s="10">
        <v>0</v>
      </c>
      <c r="H2262" s="10"/>
      <c r="I2262" s="10">
        <v>0</v>
      </c>
    </row>
    <row r="2263" spans="1:9" ht="21.75" customHeight="1">
      <c r="A2263" s="8" t="s">
        <v>14</v>
      </c>
      <c r="B2263" s="8" t="s">
        <v>15</v>
      </c>
      <c r="C2263" s="9" t="str">
        <f t="shared" si="47"/>
        <v>230115</v>
      </c>
      <c r="D2263" s="9" t="str">
        <f>"230902115"</f>
        <v>230902115</v>
      </c>
      <c r="E2263" s="10">
        <v>0</v>
      </c>
      <c r="F2263" s="10"/>
      <c r="G2263" s="10">
        <v>0</v>
      </c>
      <c r="H2263" s="10"/>
      <c r="I2263" s="10">
        <v>0</v>
      </c>
    </row>
    <row r="2264" spans="1:9" ht="21.75" customHeight="1">
      <c r="A2264" s="8" t="s">
        <v>14</v>
      </c>
      <c r="B2264" s="8" t="s">
        <v>15</v>
      </c>
      <c r="C2264" s="9" t="str">
        <f t="shared" si="47"/>
        <v>230115</v>
      </c>
      <c r="D2264" s="9" t="str">
        <f>"230902116"</f>
        <v>230902116</v>
      </c>
      <c r="E2264" s="10">
        <v>0</v>
      </c>
      <c r="F2264" s="10"/>
      <c r="G2264" s="10">
        <v>0</v>
      </c>
      <c r="H2264" s="10"/>
      <c r="I2264" s="10">
        <v>0</v>
      </c>
    </row>
    <row r="2265" spans="1:9" ht="21.75" customHeight="1">
      <c r="A2265" s="8" t="s">
        <v>14</v>
      </c>
      <c r="B2265" s="8" t="s">
        <v>15</v>
      </c>
      <c r="C2265" s="9" t="str">
        <f t="shared" si="47"/>
        <v>230115</v>
      </c>
      <c r="D2265" s="9" t="str">
        <f>"230902119"</f>
        <v>230902119</v>
      </c>
      <c r="E2265" s="10">
        <v>0</v>
      </c>
      <c r="F2265" s="10"/>
      <c r="G2265" s="10">
        <v>0</v>
      </c>
      <c r="H2265" s="10"/>
      <c r="I2265" s="10">
        <v>0</v>
      </c>
    </row>
    <row r="2266" spans="1:9" ht="21.75" customHeight="1">
      <c r="A2266" s="8" t="s">
        <v>14</v>
      </c>
      <c r="B2266" s="8" t="s">
        <v>15</v>
      </c>
      <c r="C2266" s="9" t="str">
        <f t="shared" si="47"/>
        <v>230115</v>
      </c>
      <c r="D2266" s="9" t="str">
        <f>"230902124"</f>
        <v>230902124</v>
      </c>
      <c r="E2266" s="10">
        <v>0</v>
      </c>
      <c r="F2266" s="10"/>
      <c r="G2266" s="10">
        <v>0</v>
      </c>
      <c r="H2266" s="10"/>
      <c r="I2266" s="10">
        <v>0</v>
      </c>
    </row>
    <row r="2267" spans="1:9" ht="21.75" customHeight="1">
      <c r="A2267" s="8" t="s">
        <v>14</v>
      </c>
      <c r="B2267" s="8" t="s">
        <v>15</v>
      </c>
      <c r="C2267" s="9" t="str">
        <f t="shared" si="47"/>
        <v>230115</v>
      </c>
      <c r="D2267" s="9" t="str">
        <f>"230902127"</f>
        <v>230902127</v>
      </c>
      <c r="E2267" s="10">
        <v>0</v>
      </c>
      <c r="F2267" s="10"/>
      <c r="G2267" s="10">
        <v>0</v>
      </c>
      <c r="H2267" s="10"/>
      <c r="I2267" s="10">
        <v>0</v>
      </c>
    </row>
    <row r="2268" spans="1:9" s="1" customFormat="1" ht="21.75" customHeight="1">
      <c r="A2268" s="8" t="s">
        <v>14</v>
      </c>
      <c r="B2268" s="8" t="s">
        <v>15</v>
      </c>
      <c r="C2268" s="9" t="str">
        <f t="shared" si="47"/>
        <v>230115</v>
      </c>
      <c r="D2268" s="9" t="str">
        <f>"230902130"</f>
        <v>230902130</v>
      </c>
      <c r="E2268" s="10">
        <v>0</v>
      </c>
      <c r="F2268" s="10"/>
      <c r="G2268" s="10">
        <v>0</v>
      </c>
      <c r="H2268" s="10"/>
      <c r="I2268" s="10">
        <v>0</v>
      </c>
    </row>
    <row r="2269" spans="1:9" ht="21.75" customHeight="1">
      <c r="A2269" s="8" t="s">
        <v>14</v>
      </c>
      <c r="B2269" s="8" t="s">
        <v>15</v>
      </c>
      <c r="C2269" s="9" t="str">
        <f t="shared" si="47"/>
        <v>230115</v>
      </c>
      <c r="D2269" s="9" t="str">
        <f>"230902204"</f>
        <v>230902204</v>
      </c>
      <c r="E2269" s="10">
        <v>0</v>
      </c>
      <c r="F2269" s="10"/>
      <c r="G2269" s="10">
        <v>0</v>
      </c>
      <c r="H2269" s="10"/>
      <c r="I2269" s="10">
        <v>0</v>
      </c>
    </row>
    <row r="2270" spans="1:9" ht="21.75" customHeight="1">
      <c r="A2270" s="8" t="s">
        <v>14</v>
      </c>
      <c r="B2270" s="8" t="s">
        <v>15</v>
      </c>
      <c r="C2270" s="9" t="str">
        <f t="shared" si="47"/>
        <v>230115</v>
      </c>
      <c r="D2270" s="9" t="str">
        <f>"230902205"</f>
        <v>230902205</v>
      </c>
      <c r="E2270" s="10">
        <v>0</v>
      </c>
      <c r="F2270" s="10"/>
      <c r="G2270" s="10">
        <v>0</v>
      </c>
      <c r="H2270" s="10"/>
      <c r="I2270" s="10">
        <v>0</v>
      </c>
    </row>
    <row r="2271" spans="1:9" s="1" customFormat="1" ht="21.75" customHeight="1">
      <c r="A2271" s="8" t="s">
        <v>14</v>
      </c>
      <c r="B2271" s="8" t="s">
        <v>15</v>
      </c>
      <c r="C2271" s="9" t="str">
        <f t="shared" si="47"/>
        <v>230115</v>
      </c>
      <c r="D2271" s="9" t="str">
        <f>"230902206"</f>
        <v>230902206</v>
      </c>
      <c r="E2271" s="10">
        <v>0</v>
      </c>
      <c r="F2271" s="10"/>
      <c r="G2271" s="10">
        <v>0</v>
      </c>
      <c r="H2271" s="10"/>
      <c r="I2271" s="10">
        <v>0</v>
      </c>
    </row>
    <row r="2272" spans="1:9" ht="21.75" customHeight="1">
      <c r="A2272" s="8" t="s">
        <v>14</v>
      </c>
      <c r="B2272" s="8" t="s">
        <v>15</v>
      </c>
      <c r="C2272" s="9" t="str">
        <f t="shared" si="47"/>
        <v>230115</v>
      </c>
      <c r="D2272" s="9" t="str">
        <f>"230902208"</f>
        <v>230902208</v>
      </c>
      <c r="E2272" s="10">
        <v>0</v>
      </c>
      <c r="F2272" s="10"/>
      <c r="G2272" s="10">
        <v>0</v>
      </c>
      <c r="H2272" s="10"/>
      <c r="I2272" s="10">
        <v>0</v>
      </c>
    </row>
    <row r="2273" spans="1:9" ht="21.75" customHeight="1">
      <c r="A2273" s="8" t="s">
        <v>14</v>
      </c>
      <c r="B2273" s="8" t="s">
        <v>15</v>
      </c>
      <c r="C2273" s="9" t="str">
        <f t="shared" si="47"/>
        <v>230115</v>
      </c>
      <c r="D2273" s="9" t="str">
        <f>"230902209"</f>
        <v>230902209</v>
      </c>
      <c r="E2273" s="10">
        <v>0</v>
      </c>
      <c r="F2273" s="10"/>
      <c r="G2273" s="10">
        <v>0</v>
      </c>
      <c r="H2273" s="10"/>
      <c r="I2273" s="10">
        <v>0</v>
      </c>
    </row>
    <row r="2274" spans="1:9" ht="21.75" customHeight="1">
      <c r="A2274" s="8" t="s">
        <v>14</v>
      </c>
      <c r="B2274" s="8" t="s">
        <v>15</v>
      </c>
      <c r="C2274" s="9" t="str">
        <f t="shared" si="47"/>
        <v>230115</v>
      </c>
      <c r="D2274" s="9" t="str">
        <f>"230902213"</f>
        <v>230902213</v>
      </c>
      <c r="E2274" s="10">
        <v>0</v>
      </c>
      <c r="F2274" s="10"/>
      <c r="G2274" s="10">
        <v>0</v>
      </c>
      <c r="H2274" s="10"/>
      <c r="I2274" s="10">
        <v>0</v>
      </c>
    </row>
    <row r="2275" spans="1:9" ht="21.75" customHeight="1">
      <c r="A2275" s="8" t="s">
        <v>14</v>
      </c>
      <c r="B2275" s="8" t="s">
        <v>15</v>
      </c>
      <c r="C2275" s="9" t="str">
        <f t="shared" si="47"/>
        <v>230115</v>
      </c>
      <c r="D2275" s="9" t="str">
        <f>"230902216"</f>
        <v>230902216</v>
      </c>
      <c r="E2275" s="10">
        <v>0</v>
      </c>
      <c r="F2275" s="10"/>
      <c r="G2275" s="10">
        <v>0</v>
      </c>
      <c r="H2275" s="10"/>
      <c r="I2275" s="10">
        <v>0</v>
      </c>
    </row>
    <row r="2276" spans="1:9" ht="21.75" customHeight="1">
      <c r="A2276" s="8" t="s">
        <v>14</v>
      </c>
      <c r="B2276" s="8" t="s">
        <v>15</v>
      </c>
      <c r="C2276" s="9" t="str">
        <f t="shared" si="47"/>
        <v>230115</v>
      </c>
      <c r="D2276" s="9" t="str">
        <f>"230902219"</f>
        <v>230902219</v>
      </c>
      <c r="E2276" s="10">
        <v>0</v>
      </c>
      <c r="F2276" s="10"/>
      <c r="G2276" s="10">
        <v>0</v>
      </c>
      <c r="H2276" s="10"/>
      <c r="I2276" s="10">
        <v>0</v>
      </c>
    </row>
    <row r="2277" spans="1:9" ht="21.75" customHeight="1">
      <c r="A2277" s="8" t="s">
        <v>14</v>
      </c>
      <c r="B2277" s="8" t="s">
        <v>15</v>
      </c>
      <c r="C2277" s="9" t="str">
        <f t="shared" si="47"/>
        <v>230115</v>
      </c>
      <c r="D2277" s="9" t="str">
        <f>"230902221"</f>
        <v>230902221</v>
      </c>
      <c r="E2277" s="10">
        <v>0</v>
      </c>
      <c r="F2277" s="10"/>
      <c r="G2277" s="10">
        <v>0</v>
      </c>
      <c r="H2277" s="10"/>
      <c r="I2277" s="10">
        <v>0</v>
      </c>
    </row>
    <row r="2278" spans="1:9" ht="21.75" customHeight="1">
      <c r="A2278" s="8" t="s">
        <v>14</v>
      </c>
      <c r="B2278" s="8" t="s">
        <v>15</v>
      </c>
      <c r="C2278" s="9" t="str">
        <f t="shared" si="47"/>
        <v>230115</v>
      </c>
      <c r="D2278" s="9" t="str">
        <f>"230902222"</f>
        <v>230902222</v>
      </c>
      <c r="E2278" s="10">
        <v>0</v>
      </c>
      <c r="F2278" s="10"/>
      <c r="G2278" s="10">
        <v>0</v>
      </c>
      <c r="H2278" s="10"/>
      <c r="I2278" s="10">
        <v>0</v>
      </c>
    </row>
    <row r="2279" spans="1:9" s="1" customFormat="1" ht="21.75" customHeight="1">
      <c r="A2279" s="8" t="s">
        <v>14</v>
      </c>
      <c r="B2279" s="8" t="s">
        <v>15</v>
      </c>
      <c r="C2279" s="9" t="str">
        <f t="shared" si="47"/>
        <v>230115</v>
      </c>
      <c r="D2279" s="9" t="str">
        <f>"230902225"</f>
        <v>230902225</v>
      </c>
      <c r="E2279" s="10">
        <v>0</v>
      </c>
      <c r="F2279" s="10"/>
      <c r="G2279" s="10">
        <v>0</v>
      </c>
      <c r="H2279" s="10"/>
      <c r="I2279" s="10">
        <v>0</v>
      </c>
    </row>
    <row r="2280" spans="1:9" ht="21.75" customHeight="1">
      <c r="A2280" s="8" t="s">
        <v>14</v>
      </c>
      <c r="B2280" s="8" t="s">
        <v>15</v>
      </c>
      <c r="C2280" s="9" t="str">
        <f t="shared" si="47"/>
        <v>230115</v>
      </c>
      <c r="D2280" s="9" t="str">
        <f>"230902226"</f>
        <v>230902226</v>
      </c>
      <c r="E2280" s="10">
        <v>0</v>
      </c>
      <c r="F2280" s="10"/>
      <c r="G2280" s="10">
        <v>0</v>
      </c>
      <c r="H2280" s="10"/>
      <c r="I2280" s="10">
        <v>0</v>
      </c>
    </row>
    <row r="2281" spans="1:9" s="2" customFormat="1" ht="21.75" customHeight="1">
      <c r="A2281" s="8" t="s">
        <v>14</v>
      </c>
      <c r="B2281" s="8" t="s">
        <v>16</v>
      </c>
      <c r="C2281" s="9" t="str">
        <f t="shared" ref="C2281:C2344" si="48">"230116"</f>
        <v>230116</v>
      </c>
      <c r="D2281" s="9" t="str">
        <f>"230902709"</f>
        <v>230902709</v>
      </c>
      <c r="E2281" s="10">
        <v>81.03</v>
      </c>
      <c r="F2281" s="10"/>
      <c r="G2281" s="10">
        <v>79.5</v>
      </c>
      <c r="H2281" s="10"/>
      <c r="I2281" s="10">
        <v>80.11</v>
      </c>
    </row>
    <row r="2282" spans="1:9" s="2" customFormat="1" ht="21.75" customHeight="1">
      <c r="A2282" s="8" t="s">
        <v>14</v>
      </c>
      <c r="B2282" s="8" t="s">
        <v>16</v>
      </c>
      <c r="C2282" s="9" t="str">
        <f t="shared" si="48"/>
        <v>230116</v>
      </c>
      <c r="D2282" s="9" t="str">
        <f>"230902802"</f>
        <v>230902802</v>
      </c>
      <c r="E2282" s="10">
        <v>86.08</v>
      </c>
      <c r="F2282" s="10"/>
      <c r="G2282" s="10">
        <v>74.5</v>
      </c>
      <c r="H2282" s="10"/>
      <c r="I2282" s="10">
        <v>79.13</v>
      </c>
    </row>
    <row r="2283" spans="1:9" s="2" customFormat="1" ht="21.75" customHeight="1">
      <c r="A2283" s="8" t="s">
        <v>14</v>
      </c>
      <c r="B2283" s="8" t="s">
        <v>16</v>
      </c>
      <c r="C2283" s="9" t="str">
        <f t="shared" si="48"/>
        <v>230116</v>
      </c>
      <c r="D2283" s="9" t="str">
        <f>"230903108"</f>
        <v>230903108</v>
      </c>
      <c r="E2283" s="10">
        <v>79.069999999999993</v>
      </c>
      <c r="F2283" s="10"/>
      <c r="G2283" s="10">
        <v>79</v>
      </c>
      <c r="H2283" s="10"/>
      <c r="I2283" s="10">
        <v>79.03</v>
      </c>
    </row>
    <row r="2284" spans="1:9" s="2" customFormat="1" ht="21.75" customHeight="1">
      <c r="A2284" s="8" t="s">
        <v>14</v>
      </c>
      <c r="B2284" s="8" t="s">
        <v>16</v>
      </c>
      <c r="C2284" s="9" t="str">
        <f t="shared" si="48"/>
        <v>230116</v>
      </c>
      <c r="D2284" s="9" t="str">
        <f>"230903018"</f>
        <v>230903018</v>
      </c>
      <c r="E2284" s="10">
        <v>87.57</v>
      </c>
      <c r="F2284" s="10"/>
      <c r="G2284" s="10">
        <v>73</v>
      </c>
      <c r="H2284" s="10"/>
      <c r="I2284" s="10">
        <v>78.83</v>
      </c>
    </row>
    <row r="2285" spans="1:9" s="2" customFormat="1" ht="21.75" customHeight="1">
      <c r="A2285" s="8" t="s">
        <v>14</v>
      </c>
      <c r="B2285" s="8" t="s">
        <v>16</v>
      </c>
      <c r="C2285" s="9" t="str">
        <f t="shared" si="48"/>
        <v>230116</v>
      </c>
      <c r="D2285" s="9" t="str">
        <f>"230903217"</f>
        <v>230903217</v>
      </c>
      <c r="E2285" s="10">
        <v>83.32</v>
      </c>
      <c r="F2285" s="10"/>
      <c r="G2285" s="10">
        <v>75.5</v>
      </c>
      <c r="H2285" s="10"/>
      <c r="I2285" s="10">
        <v>78.63</v>
      </c>
    </row>
    <row r="2286" spans="1:9" s="3" customFormat="1" ht="21.75" customHeight="1">
      <c r="A2286" s="8" t="s">
        <v>14</v>
      </c>
      <c r="B2286" s="8" t="s">
        <v>16</v>
      </c>
      <c r="C2286" s="9" t="str">
        <f t="shared" si="48"/>
        <v>230116</v>
      </c>
      <c r="D2286" s="9" t="str">
        <f>"230902723"</f>
        <v>230902723</v>
      </c>
      <c r="E2286" s="10">
        <v>79.53</v>
      </c>
      <c r="F2286" s="10"/>
      <c r="G2286" s="10">
        <v>77.5</v>
      </c>
      <c r="H2286" s="10"/>
      <c r="I2286" s="10">
        <v>78.31</v>
      </c>
    </row>
    <row r="2287" spans="1:9" s="2" customFormat="1" ht="21.75" customHeight="1">
      <c r="A2287" s="8" t="s">
        <v>14</v>
      </c>
      <c r="B2287" s="8" t="s">
        <v>16</v>
      </c>
      <c r="C2287" s="9" t="str">
        <f t="shared" si="48"/>
        <v>230116</v>
      </c>
      <c r="D2287" s="9" t="str">
        <f>"230902320"</f>
        <v>230902320</v>
      </c>
      <c r="E2287" s="10">
        <v>76.989999999999995</v>
      </c>
      <c r="F2287" s="10"/>
      <c r="G2287" s="10">
        <v>78.5</v>
      </c>
      <c r="H2287" s="10"/>
      <c r="I2287" s="10">
        <v>77.900000000000006</v>
      </c>
    </row>
    <row r="2288" spans="1:9" s="2" customFormat="1" ht="21.75" customHeight="1">
      <c r="A2288" s="8" t="s">
        <v>14</v>
      </c>
      <c r="B2288" s="8" t="s">
        <v>16</v>
      </c>
      <c r="C2288" s="9" t="str">
        <f t="shared" si="48"/>
        <v>230116</v>
      </c>
      <c r="D2288" s="9" t="str">
        <f>"230903111"</f>
        <v>230903111</v>
      </c>
      <c r="E2288" s="10">
        <v>75.959999999999994</v>
      </c>
      <c r="F2288" s="10"/>
      <c r="G2288" s="10">
        <v>79</v>
      </c>
      <c r="H2288" s="10"/>
      <c r="I2288" s="10">
        <v>77.78</v>
      </c>
    </row>
    <row r="2289" spans="1:9" s="2" customFormat="1" ht="21.75" customHeight="1">
      <c r="A2289" s="8" t="s">
        <v>14</v>
      </c>
      <c r="B2289" s="8" t="s">
        <v>16</v>
      </c>
      <c r="C2289" s="9" t="str">
        <f t="shared" si="48"/>
        <v>230116</v>
      </c>
      <c r="D2289" s="9" t="str">
        <f>"230902724"</f>
        <v>230902724</v>
      </c>
      <c r="E2289" s="10">
        <v>77</v>
      </c>
      <c r="F2289" s="10"/>
      <c r="G2289" s="10">
        <v>78</v>
      </c>
      <c r="H2289" s="10"/>
      <c r="I2289" s="10">
        <v>77.599999999999994</v>
      </c>
    </row>
    <row r="2290" spans="1:9" s="2" customFormat="1" ht="21.75" customHeight="1">
      <c r="A2290" s="8" t="s">
        <v>14</v>
      </c>
      <c r="B2290" s="8" t="s">
        <v>16</v>
      </c>
      <c r="C2290" s="9" t="str">
        <f t="shared" si="48"/>
        <v>230116</v>
      </c>
      <c r="D2290" s="9" t="str">
        <f>"230903016"</f>
        <v>230903016</v>
      </c>
      <c r="E2290" s="10">
        <v>81.459999999999994</v>
      </c>
      <c r="F2290" s="10"/>
      <c r="G2290" s="10">
        <v>75</v>
      </c>
      <c r="H2290" s="10"/>
      <c r="I2290" s="10">
        <v>77.58</v>
      </c>
    </row>
    <row r="2291" spans="1:9" s="2" customFormat="1" ht="21.75" customHeight="1">
      <c r="A2291" s="8" t="s">
        <v>14</v>
      </c>
      <c r="B2291" s="8" t="s">
        <v>16</v>
      </c>
      <c r="C2291" s="9" t="str">
        <f t="shared" si="48"/>
        <v>230116</v>
      </c>
      <c r="D2291" s="9" t="str">
        <f>"230902628"</f>
        <v>230902628</v>
      </c>
      <c r="E2291" s="10">
        <v>79.52</v>
      </c>
      <c r="F2291" s="10"/>
      <c r="G2291" s="10">
        <v>76</v>
      </c>
      <c r="H2291" s="10"/>
      <c r="I2291" s="10">
        <v>77.41</v>
      </c>
    </row>
    <row r="2292" spans="1:9" s="2" customFormat="1" ht="21.75" customHeight="1">
      <c r="A2292" s="8" t="s">
        <v>14</v>
      </c>
      <c r="B2292" s="8" t="s">
        <v>16</v>
      </c>
      <c r="C2292" s="9" t="str">
        <f t="shared" si="48"/>
        <v>230116</v>
      </c>
      <c r="D2292" s="9" t="str">
        <f>"230902913"</f>
        <v>230902913</v>
      </c>
      <c r="E2292" s="10">
        <v>79.06</v>
      </c>
      <c r="F2292" s="10"/>
      <c r="G2292" s="10">
        <v>76</v>
      </c>
      <c r="H2292" s="10"/>
      <c r="I2292" s="10">
        <v>77.22</v>
      </c>
    </row>
    <row r="2293" spans="1:9" s="2" customFormat="1" ht="21.75" customHeight="1">
      <c r="A2293" s="8" t="s">
        <v>14</v>
      </c>
      <c r="B2293" s="8" t="s">
        <v>16</v>
      </c>
      <c r="C2293" s="9" t="str">
        <f t="shared" si="48"/>
        <v>230116</v>
      </c>
      <c r="D2293" s="9" t="str">
        <f>"230902804"</f>
        <v>230902804</v>
      </c>
      <c r="E2293" s="10">
        <v>82.52</v>
      </c>
      <c r="F2293" s="10"/>
      <c r="G2293" s="10">
        <v>73.5</v>
      </c>
      <c r="H2293" s="10"/>
      <c r="I2293" s="10">
        <v>77.11</v>
      </c>
    </row>
    <row r="2294" spans="1:9" s="2" customFormat="1" ht="21.75" customHeight="1">
      <c r="A2294" s="8" t="s">
        <v>14</v>
      </c>
      <c r="B2294" s="8" t="s">
        <v>16</v>
      </c>
      <c r="C2294" s="9" t="str">
        <f t="shared" si="48"/>
        <v>230116</v>
      </c>
      <c r="D2294" s="9" t="str">
        <f>"230902715"</f>
        <v>230902715</v>
      </c>
      <c r="E2294" s="10">
        <v>75.13</v>
      </c>
      <c r="F2294" s="10"/>
      <c r="G2294" s="10">
        <v>78</v>
      </c>
      <c r="H2294" s="10"/>
      <c r="I2294" s="10">
        <v>76.849999999999994</v>
      </c>
    </row>
    <row r="2295" spans="1:9" s="2" customFormat="1" ht="21.75" customHeight="1">
      <c r="A2295" s="8" t="s">
        <v>14</v>
      </c>
      <c r="B2295" s="8" t="s">
        <v>16</v>
      </c>
      <c r="C2295" s="9" t="str">
        <f t="shared" si="48"/>
        <v>230116</v>
      </c>
      <c r="D2295" s="9" t="str">
        <f>"230902707"</f>
        <v>230902707</v>
      </c>
      <c r="E2295" s="10">
        <v>74.23</v>
      </c>
      <c r="F2295" s="10"/>
      <c r="G2295" s="10">
        <v>78.5</v>
      </c>
      <c r="H2295" s="10"/>
      <c r="I2295" s="10">
        <v>76.790000000000006</v>
      </c>
    </row>
    <row r="2296" spans="1:9" s="3" customFormat="1" ht="21.75" customHeight="1">
      <c r="A2296" s="8" t="s">
        <v>14</v>
      </c>
      <c r="B2296" s="8" t="s">
        <v>16</v>
      </c>
      <c r="C2296" s="9" t="str">
        <f t="shared" si="48"/>
        <v>230116</v>
      </c>
      <c r="D2296" s="9" t="str">
        <f>"230902810"</f>
        <v>230902810</v>
      </c>
      <c r="E2296" s="10">
        <v>69.27</v>
      </c>
      <c r="F2296" s="10"/>
      <c r="G2296" s="10">
        <v>81.5</v>
      </c>
      <c r="H2296" s="10"/>
      <c r="I2296" s="10">
        <v>76.61</v>
      </c>
    </row>
    <row r="2297" spans="1:9" s="2" customFormat="1" ht="21.75" customHeight="1">
      <c r="A2297" s="8" t="s">
        <v>14</v>
      </c>
      <c r="B2297" s="8" t="s">
        <v>16</v>
      </c>
      <c r="C2297" s="9" t="str">
        <f t="shared" si="48"/>
        <v>230116</v>
      </c>
      <c r="D2297" s="9" t="str">
        <f>"230902520"</f>
        <v>230902520</v>
      </c>
      <c r="E2297" s="10">
        <v>79.739999999999995</v>
      </c>
      <c r="F2297" s="10"/>
      <c r="G2297" s="10">
        <v>74.5</v>
      </c>
      <c r="H2297" s="10"/>
      <c r="I2297" s="10">
        <v>76.599999999999994</v>
      </c>
    </row>
    <row r="2298" spans="1:9" s="2" customFormat="1" ht="21.75" customHeight="1">
      <c r="A2298" s="8" t="s">
        <v>14</v>
      </c>
      <c r="B2298" s="8" t="s">
        <v>16</v>
      </c>
      <c r="C2298" s="9" t="str">
        <f t="shared" si="48"/>
        <v>230116</v>
      </c>
      <c r="D2298" s="9" t="str">
        <f>"230902614"</f>
        <v>230902614</v>
      </c>
      <c r="E2298" s="10">
        <v>75.5</v>
      </c>
      <c r="F2298" s="10"/>
      <c r="G2298" s="10">
        <v>77</v>
      </c>
      <c r="H2298" s="10"/>
      <c r="I2298" s="10">
        <v>76.400000000000006</v>
      </c>
    </row>
    <row r="2299" spans="1:9" s="2" customFormat="1" ht="21.75" customHeight="1">
      <c r="A2299" s="8" t="s">
        <v>14</v>
      </c>
      <c r="B2299" s="8" t="s">
        <v>16</v>
      </c>
      <c r="C2299" s="9" t="str">
        <f t="shared" si="48"/>
        <v>230116</v>
      </c>
      <c r="D2299" s="9" t="str">
        <f>"230902414"</f>
        <v>230902414</v>
      </c>
      <c r="E2299" s="10">
        <v>78.14</v>
      </c>
      <c r="F2299" s="10"/>
      <c r="G2299" s="10">
        <v>75</v>
      </c>
      <c r="H2299" s="10"/>
      <c r="I2299" s="10">
        <v>76.260000000000005</v>
      </c>
    </row>
    <row r="2300" spans="1:9" s="2" customFormat="1" ht="21.75" customHeight="1">
      <c r="A2300" s="8" t="s">
        <v>14</v>
      </c>
      <c r="B2300" s="8" t="s">
        <v>16</v>
      </c>
      <c r="C2300" s="9" t="str">
        <f t="shared" si="48"/>
        <v>230116</v>
      </c>
      <c r="D2300" s="9" t="str">
        <f>"230902712"</f>
        <v>230902712</v>
      </c>
      <c r="E2300" s="10">
        <v>74.02</v>
      </c>
      <c r="F2300" s="10"/>
      <c r="G2300" s="10">
        <v>77.5</v>
      </c>
      <c r="H2300" s="10"/>
      <c r="I2300" s="10">
        <v>76.11</v>
      </c>
    </row>
    <row r="2301" spans="1:9" s="2" customFormat="1" ht="21.75" customHeight="1">
      <c r="A2301" s="8" t="s">
        <v>14</v>
      </c>
      <c r="B2301" s="8" t="s">
        <v>16</v>
      </c>
      <c r="C2301" s="9" t="str">
        <f t="shared" si="48"/>
        <v>230116</v>
      </c>
      <c r="D2301" s="9" t="str">
        <f>"230902309"</f>
        <v>230902309</v>
      </c>
      <c r="E2301" s="10">
        <v>76.98</v>
      </c>
      <c r="F2301" s="10"/>
      <c r="G2301" s="10">
        <v>75</v>
      </c>
      <c r="H2301" s="10"/>
      <c r="I2301" s="10">
        <v>75.790000000000006</v>
      </c>
    </row>
    <row r="2302" spans="1:9" s="2" customFormat="1" ht="21.75" customHeight="1">
      <c r="A2302" s="8" t="s">
        <v>14</v>
      </c>
      <c r="B2302" s="8" t="s">
        <v>16</v>
      </c>
      <c r="C2302" s="9" t="str">
        <f t="shared" si="48"/>
        <v>230116</v>
      </c>
      <c r="D2302" s="9" t="str">
        <f>"230902425"</f>
        <v>230902425</v>
      </c>
      <c r="E2302" s="10">
        <v>73.87</v>
      </c>
      <c r="F2302" s="10"/>
      <c r="G2302" s="10">
        <v>77</v>
      </c>
      <c r="H2302" s="10"/>
      <c r="I2302" s="10">
        <v>75.75</v>
      </c>
    </row>
    <row r="2303" spans="1:9" s="2" customFormat="1" ht="21.75" customHeight="1">
      <c r="A2303" s="8" t="s">
        <v>14</v>
      </c>
      <c r="B2303" s="8" t="s">
        <v>16</v>
      </c>
      <c r="C2303" s="9" t="str">
        <f t="shared" si="48"/>
        <v>230116</v>
      </c>
      <c r="D2303" s="9" t="str">
        <f>"230903106"</f>
        <v>230903106</v>
      </c>
      <c r="E2303" s="10">
        <v>70.88</v>
      </c>
      <c r="F2303" s="10"/>
      <c r="G2303" s="10">
        <v>79</v>
      </c>
      <c r="H2303" s="10"/>
      <c r="I2303" s="10">
        <v>75.75</v>
      </c>
    </row>
    <row r="2304" spans="1:9" s="2" customFormat="1" ht="21.75" customHeight="1">
      <c r="A2304" s="8" t="s">
        <v>14</v>
      </c>
      <c r="B2304" s="8" t="s">
        <v>16</v>
      </c>
      <c r="C2304" s="9" t="str">
        <f t="shared" si="48"/>
        <v>230116</v>
      </c>
      <c r="D2304" s="9" t="str">
        <f>"230903019"</f>
        <v>230903019</v>
      </c>
      <c r="E2304" s="10">
        <v>75.84</v>
      </c>
      <c r="F2304" s="10"/>
      <c r="G2304" s="10">
        <v>75.5</v>
      </c>
      <c r="H2304" s="10"/>
      <c r="I2304" s="10">
        <v>75.64</v>
      </c>
    </row>
    <row r="2305" spans="1:9" s="2" customFormat="1" ht="21.75" customHeight="1">
      <c r="A2305" s="8" t="s">
        <v>14</v>
      </c>
      <c r="B2305" s="8" t="s">
        <v>16</v>
      </c>
      <c r="C2305" s="9" t="str">
        <f t="shared" si="48"/>
        <v>230116</v>
      </c>
      <c r="D2305" s="9" t="str">
        <f>"230903211"</f>
        <v>230903211</v>
      </c>
      <c r="E2305" s="10">
        <v>69.73</v>
      </c>
      <c r="F2305" s="10"/>
      <c r="G2305" s="10">
        <v>79.5</v>
      </c>
      <c r="H2305" s="10"/>
      <c r="I2305" s="10">
        <v>75.59</v>
      </c>
    </row>
    <row r="2306" spans="1:9" s="3" customFormat="1" ht="21.75" customHeight="1">
      <c r="A2306" s="8" t="s">
        <v>14</v>
      </c>
      <c r="B2306" s="8" t="s">
        <v>16</v>
      </c>
      <c r="C2306" s="9" t="str">
        <f t="shared" si="48"/>
        <v>230116</v>
      </c>
      <c r="D2306" s="9" t="str">
        <f>"230902512"</f>
        <v>230902512</v>
      </c>
      <c r="E2306" s="10">
        <v>77.91</v>
      </c>
      <c r="F2306" s="10"/>
      <c r="G2306" s="10">
        <v>74</v>
      </c>
      <c r="H2306" s="10"/>
      <c r="I2306" s="10">
        <v>75.56</v>
      </c>
    </row>
    <row r="2307" spans="1:9" s="2" customFormat="1" ht="21.75" customHeight="1">
      <c r="A2307" s="8" t="s">
        <v>14</v>
      </c>
      <c r="B2307" s="8" t="s">
        <v>16</v>
      </c>
      <c r="C2307" s="9" t="str">
        <f t="shared" si="48"/>
        <v>230116</v>
      </c>
      <c r="D2307" s="9" t="str">
        <f>"230902508"</f>
        <v>230902508</v>
      </c>
      <c r="E2307" s="10">
        <v>78.48</v>
      </c>
      <c r="F2307" s="10"/>
      <c r="G2307" s="10">
        <v>73.5</v>
      </c>
      <c r="H2307" s="10"/>
      <c r="I2307" s="10">
        <v>75.489999999999995</v>
      </c>
    </row>
    <row r="2308" spans="1:9" s="2" customFormat="1" ht="21.75" customHeight="1">
      <c r="A2308" s="8" t="s">
        <v>14</v>
      </c>
      <c r="B2308" s="8" t="s">
        <v>16</v>
      </c>
      <c r="C2308" s="9" t="str">
        <f t="shared" si="48"/>
        <v>230116</v>
      </c>
      <c r="D2308" s="9" t="str">
        <f>"230902801"</f>
        <v>230902801</v>
      </c>
      <c r="E2308" s="10">
        <v>76.98</v>
      </c>
      <c r="F2308" s="10"/>
      <c r="G2308" s="10">
        <v>74.5</v>
      </c>
      <c r="H2308" s="10"/>
      <c r="I2308" s="10">
        <v>75.489999999999995</v>
      </c>
    </row>
    <row r="2309" spans="1:9" s="2" customFormat="1" ht="21.75" customHeight="1">
      <c r="A2309" s="8" t="s">
        <v>14</v>
      </c>
      <c r="B2309" s="8" t="s">
        <v>16</v>
      </c>
      <c r="C2309" s="9" t="str">
        <f t="shared" si="48"/>
        <v>230116</v>
      </c>
      <c r="D2309" s="9" t="str">
        <f>"230902728"</f>
        <v>230902728</v>
      </c>
      <c r="E2309" s="10">
        <v>66.98</v>
      </c>
      <c r="F2309" s="10"/>
      <c r="G2309" s="10">
        <v>81</v>
      </c>
      <c r="H2309" s="10"/>
      <c r="I2309" s="10">
        <v>75.39</v>
      </c>
    </row>
    <row r="2310" spans="1:9" s="3" customFormat="1" ht="21.75" customHeight="1">
      <c r="A2310" s="8" t="s">
        <v>14</v>
      </c>
      <c r="B2310" s="8" t="s">
        <v>16</v>
      </c>
      <c r="C2310" s="9" t="str">
        <f t="shared" si="48"/>
        <v>230116</v>
      </c>
      <c r="D2310" s="9" t="str">
        <f>"230902407"</f>
        <v>230902407</v>
      </c>
      <c r="E2310" s="10">
        <v>76.989999999999995</v>
      </c>
      <c r="F2310" s="10"/>
      <c r="G2310" s="10">
        <v>74</v>
      </c>
      <c r="H2310" s="10"/>
      <c r="I2310" s="10">
        <v>75.2</v>
      </c>
    </row>
    <row r="2311" spans="1:9" s="2" customFormat="1" ht="21.75" customHeight="1">
      <c r="A2311" s="8" t="s">
        <v>14</v>
      </c>
      <c r="B2311" s="8" t="s">
        <v>16</v>
      </c>
      <c r="C2311" s="9" t="str">
        <f t="shared" si="48"/>
        <v>230116</v>
      </c>
      <c r="D2311" s="9" t="str">
        <f>"230902708"</f>
        <v>230902708</v>
      </c>
      <c r="E2311" s="10">
        <v>74.23</v>
      </c>
      <c r="F2311" s="10"/>
      <c r="G2311" s="10">
        <v>75.5</v>
      </c>
      <c r="H2311" s="10"/>
      <c r="I2311" s="10">
        <v>74.989999999999995</v>
      </c>
    </row>
    <row r="2312" spans="1:9" s="2" customFormat="1" ht="21.75" customHeight="1">
      <c r="A2312" s="8" t="s">
        <v>14</v>
      </c>
      <c r="B2312" s="8" t="s">
        <v>16</v>
      </c>
      <c r="C2312" s="9" t="str">
        <f t="shared" si="48"/>
        <v>230116</v>
      </c>
      <c r="D2312" s="9" t="str">
        <f>"230902719"</f>
        <v>230902719</v>
      </c>
      <c r="E2312" s="10">
        <v>72.72</v>
      </c>
      <c r="F2312" s="10"/>
      <c r="G2312" s="10">
        <v>76.5</v>
      </c>
      <c r="H2312" s="10"/>
      <c r="I2312" s="10">
        <v>74.989999999999995</v>
      </c>
    </row>
    <row r="2313" spans="1:9" s="2" customFormat="1" ht="21.75" customHeight="1">
      <c r="A2313" s="8" t="s">
        <v>14</v>
      </c>
      <c r="B2313" s="8" t="s">
        <v>16</v>
      </c>
      <c r="C2313" s="9" t="str">
        <f t="shared" si="48"/>
        <v>230116</v>
      </c>
      <c r="D2313" s="9" t="str">
        <f>"230903219"</f>
        <v>230903219</v>
      </c>
      <c r="E2313" s="10">
        <v>70.45</v>
      </c>
      <c r="F2313" s="10"/>
      <c r="G2313" s="10">
        <v>78</v>
      </c>
      <c r="H2313" s="10"/>
      <c r="I2313" s="10">
        <v>74.98</v>
      </c>
    </row>
    <row r="2314" spans="1:9" s="2" customFormat="1" ht="21.75" customHeight="1">
      <c r="A2314" s="8" t="s">
        <v>14</v>
      </c>
      <c r="B2314" s="8" t="s">
        <v>16</v>
      </c>
      <c r="C2314" s="9" t="str">
        <f t="shared" si="48"/>
        <v>230116</v>
      </c>
      <c r="D2314" s="9" t="str">
        <f>"230902607"</f>
        <v>230902607</v>
      </c>
      <c r="E2314" s="10">
        <v>79.42</v>
      </c>
      <c r="F2314" s="10"/>
      <c r="G2314" s="10">
        <v>72</v>
      </c>
      <c r="H2314" s="10"/>
      <c r="I2314" s="10">
        <v>74.97</v>
      </c>
    </row>
    <row r="2315" spans="1:9" s="2" customFormat="1" ht="21.75" customHeight="1">
      <c r="A2315" s="8" t="s">
        <v>14</v>
      </c>
      <c r="B2315" s="8" t="s">
        <v>16</v>
      </c>
      <c r="C2315" s="9" t="str">
        <f t="shared" si="48"/>
        <v>230116</v>
      </c>
      <c r="D2315" s="9" t="str">
        <f>"230903024"</f>
        <v>230903024</v>
      </c>
      <c r="E2315" s="10">
        <v>77.900000000000006</v>
      </c>
      <c r="F2315" s="10"/>
      <c r="G2315" s="10">
        <v>73</v>
      </c>
      <c r="H2315" s="10"/>
      <c r="I2315" s="10">
        <v>74.959999999999994</v>
      </c>
    </row>
    <row r="2316" spans="1:9" s="2" customFormat="1" ht="21.75" customHeight="1">
      <c r="A2316" s="8" t="s">
        <v>14</v>
      </c>
      <c r="B2316" s="8" t="s">
        <v>16</v>
      </c>
      <c r="C2316" s="9" t="str">
        <f t="shared" si="48"/>
        <v>230116</v>
      </c>
      <c r="D2316" s="9" t="str">
        <f>"230903126"</f>
        <v>230903126</v>
      </c>
      <c r="E2316" s="10">
        <v>79.41</v>
      </c>
      <c r="F2316" s="10"/>
      <c r="G2316" s="10">
        <v>72</v>
      </c>
      <c r="H2316" s="10"/>
      <c r="I2316" s="10">
        <v>74.959999999999994</v>
      </c>
    </row>
    <row r="2317" spans="1:9" s="3" customFormat="1" ht="21.75" customHeight="1">
      <c r="A2317" s="8" t="s">
        <v>14</v>
      </c>
      <c r="B2317" s="8" t="s">
        <v>16</v>
      </c>
      <c r="C2317" s="9" t="str">
        <f t="shared" si="48"/>
        <v>230116</v>
      </c>
      <c r="D2317" s="9" t="str">
        <f>"230902303"</f>
        <v>230902303</v>
      </c>
      <c r="E2317" s="10">
        <v>72.510000000000005</v>
      </c>
      <c r="F2317" s="10"/>
      <c r="G2317" s="10">
        <v>76.5</v>
      </c>
      <c r="H2317" s="10"/>
      <c r="I2317" s="10">
        <v>74.900000000000006</v>
      </c>
    </row>
    <row r="2318" spans="1:9" s="2" customFormat="1" ht="21.75" customHeight="1">
      <c r="A2318" s="8" t="s">
        <v>14</v>
      </c>
      <c r="B2318" s="8" t="s">
        <v>16</v>
      </c>
      <c r="C2318" s="9" t="str">
        <f t="shared" si="48"/>
        <v>230116</v>
      </c>
      <c r="D2318" s="9" t="str">
        <f>"230902824"</f>
        <v>230902824</v>
      </c>
      <c r="E2318" s="10">
        <v>75.489999999999995</v>
      </c>
      <c r="F2318" s="10"/>
      <c r="G2318" s="10">
        <v>74.5</v>
      </c>
      <c r="H2318" s="10"/>
      <c r="I2318" s="10">
        <v>74.900000000000006</v>
      </c>
    </row>
    <row r="2319" spans="1:9" s="2" customFormat="1" ht="21.75" customHeight="1">
      <c r="A2319" s="8" t="s">
        <v>14</v>
      </c>
      <c r="B2319" s="8" t="s">
        <v>16</v>
      </c>
      <c r="C2319" s="9" t="str">
        <f t="shared" si="48"/>
        <v>230116</v>
      </c>
      <c r="D2319" s="9" t="str">
        <f>"230902323"</f>
        <v>230902323</v>
      </c>
      <c r="E2319" s="10">
        <v>70.89</v>
      </c>
      <c r="F2319" s="10"/>
      <c r="G2319" s="10">
        <v>77.5</v>
      </c>
      <c r="H2319" s="10"/>
      <c r="I2319" s="10">
        <v>74.86</v>
      </c>
    </row>
    <row r="2320" spans="1:9" s="3" customFormat="1" ht="21.75" customHeight="1">
      <c r="A2320" s="8" t="s">
        <v>14</v>
      </c>
      <c r="B2320" s="8" t="s">
        <v>16</v>
      </c>
      <c r="C2320" s="9" t="str">
        <f t="shared" si="48"/>
        <v>230116</v>
      </c>
      <c r="D2320" s="9" t="str">
        <f>"230903002"</f>
        <v>230903002</v>
      </c>
      <c r="E2320" s="10">
        <v>75.16</v>
      </c>
      <c r="F2320" s="10"/>
      <c r="G2320" s="10">
        <v>74.5</v>
      </c>
      <c r="H2320" s="10"/>
      <c r="I2320" s="10">
        <v>74.760000000000005</v>
      </c>
    </row>
    <row r="2321" spans="1:9" s="3" customFormat="1" ht="21.75" customHeight="1">
      <c r="A2321" s="8" t="s">
        <v>14</v>
      </c>
      <c r="B2321" s="8" t="s">
        <v>16</v>
      </c>
      <c r="C2321" s="9" t="str">
        <f t="shared" si="48"/>
        <v>230116</v>
      </c>
      <c r="D2321" s="9" t="str">
        <f>"230903227"</f>
        <v>230903227</v>
      </c>
      <c r="E2321" s="10">
        <v>73.650000000000006</v>
      </c>
      <c r="F2321" s="10"/>
      <c r="G2321" s="10">
        <v>75.5</v>
      </c>
      <c r="H2321" s="10"/>
      <c r="I2321" s="10">
        <v>74.760000000000005</v>
      </c>
    </row>
    <row r="2322" spans="1:9" s="2" customFormat="1" ht="21.75" customHeight="1">
      <c r="A2322" s="8" t="s">
        <v>14</v>
      </c>
      <c r="B2322" s="8" t="s">
        <v>16</v>
      </c>
      <c r="C2322" s="9" t="str">
        <f t="shared" si="48"/>
        <v>230116</v>
      </c>
      <c r="D2322" s="9" t="str">
        <f>"230903021"</f>
        <v>230903021</v>
      </c>
      <c r="E2322" s="10">
        <v>81.83</v>
      </c>
      <c r="F2322" s="10"/>
      <c r="G2322" s="10">
        <v>70</v>
      </c>
      <c r="H2322" s="10"/>
      <c r="I2322" s="10">
        <v>74.73</v>
      </c>
    </row>
    <row r="2323" spans="1:9" s="3" customFormat="1" ht="21.75" customHeight="1">
      <c r="A2323" s="8" t="s">
        <v>14</v>
      </c>
      <c r="B2323" s="8" t="s">
        <v>16</v>
      </c>
      <c r="C2323" s="9" t="str">
        <f t="shared" si="48"/>
        <v>230116</v>
      </c>
      <c r="D2323" s="9" t="str">
        <f>"230902405"</f>
        <v>230902405</v>
      </c>
      <c r="E2323" s="10">
        <v>66.42</v>
      </c>
      <c r="F2323" s="10"/>
      <c r="G2323" s="10">
        <v>80</v>
      </c>
      <c r="H2323" s="10"/>
      <c r="I2323" s="10">
        <v>74.569999999999993</v>
      </c>
    </row>
    <row r="2324" spans="1:9" s="3" customFormat="1" ht="21.75" customHeight="1">
      <c r="A2324" s="8" t="s">
        <v>14</v>
      </c>
      <c r="B2324" s="8" t="s">
        <v>16</v>
      </c>
      <c r="C2324" s="9" t="str">
        <f t="shared" si="48"/>
        <v>230116</v>
      </c>
      <c r="D2324" s="9" t="str">
        <f>"230902426"</f>
        <v>230902426</v>
      </c>
      <c r="E2324" s="10">
        <v>77.239999999999995</v>
      </c>
      <c r="F2324" s="10"/>
      <c r="G2324" s="10">
        <v>72.5</v>
      </c>
      <c r="H2324" s="10"/>
      <c r="I2324" s="10">
        <v>74.400000000000006</v>
      </c>
    </row>
    <row r="2325" spans="1:9" s="3" customFormat="1" ht="21.75" customHeight="1">
      <c r="A2325" s="8" t="s">
        <v>14</v>
      </c>
      <c r="B2325" s="8" t="s">
        <v>16</v>
      </c>
      <c r="C2325" s="9" t="str">
        <f t="shared" si="48"/>
        <v>230116</v>
      </c>
      <c r="D2325" s="9" t="str">
        <f>"230903003"</f>
        <v>230903003</v>
      </c>
      <c r="E2325" s="10">
        <v>71.23</v>
      </c>
      <c r="F2325" s="10"/>
      <c r="G2325" s="10">
        <v>76.5</v>
      </c>
      <c r="H2325" s="10"/>
      <c r="I2325" s="10">
        <v>74.39</v>
      </c>
    </row>
    <row r="2326" spans="1:9" s="2" customFormat="1" ht="21.75" customHeight="1">
      <c r="A2326" s="8" t="s">
        <v>14</v>
      </c>
      <c r="B2326" s="8" t="s">
        <v>16</v>
      </c>
      <c r="C2326" s="9" t="str">
        <f t="shared" si="48"/>
        <v>230116</v>
      </c>
      <c r="D2326" s="9" t="str">
        <f>"230902816"</f>
        <v>230902816</v>
      </c>
      <c r="E2326" s="10">
        <v>77.790000000000006</v>
      </c>
      <c r="F2326" s="10"/>
      <c r="G2326" s="10">
        <v>72</v>
      </c>
      <c r="H2326" s="10"/>
      <c r="I2326" s="10">
        <v>74.319999999999993</v>
      </c>
    </row>
    <row r="2327" spans="1:9" s="3" customFormat="1" ht="21.75" customHeight="1">
      <c r="A2327" s="8" t="s">
        <v>14</v>
      </c>
      <c r="B2327" s="8" t="s">
        <v>16</v>
      </c>
      <c r="C2327" s="9" t="str">
        <f t="shared" si="48"/>
        <v>230116</v>
      </c>
      <c r="D2327" s="9" t="str">
        <f>"230903117"</f>
        <v>230903117</v>
      </c>
      <c r="E2327" s="10">
        <v>75.150000000000006</v>
      </c>
      <c r="F2327" s="10"/>
      <c r="G2327" s="10">
        <v>73.5</v>
      </c>
      <c r="H2327" s="10"/>
      <c r="I2327" s="10">
        <v>74.16</v>
      </c>
    </row>
    <row r="2328" spans="1:9" s="3" customFormat="1" ht="21.75" customHeight="1">
      <c r="A2328" s="8" t="s">
        <v>14</v>
      </c>
      <c r="B2328" s="8" t="s">
        <v>16</v>
      </c>
      <c r="C2328" s="9" t="str">
        <f t="shared" si="48"/>
        <v>230116</v>
      </c>
      <c r="D2328" s="9" t="str">
        <f>"230902412"</f>
        <v>230902412</v>
      </c>
      <c r="E2328" s="10">
        <v>74.34</v>
      </c>
      <c r="F2328" s="10"/>
      <c r="G2328" s="10">
        <v>74</v>
      </c>
      <c r="H2328" s="10"/>
      <c r="I2328" s="10">
        <v>74.14</v>
      </c>
    </row>
    <row r="2329" spans="1:9" s="2" customFormat="1" ht="21.75" customHeight="1">
      <c r="A2329" s="8" t="s">
        <v>14</v>
      </c>
      <c r="B2329" s="8" t="s">
        <v>16</v>
      </c>
      <c r="C2329" s="9" t="str">
        <f t="shared" si="48"/>
        <v>230116</v>
      </c>
      <c r="D2329" s="9" t="str">
        <f>"230903119"</f>
        <v>230903119</v>
      </c>
      <c r="E2329" s="10">
        <v>78.83</v>
      </c>
      <c r="F2329" s="10"/>
      <c r="G2329" s="10">
        <v>71</v>
      </c>
      <c r="H2329" s="10"/>
      <c r="I2329" s="10">
        <v>74.13</v>
      </c>
    </row>
    <row r="2330" spans="1:9" s="2" customFormat="1" ht="21.75" customHeight="1">
      <c r="A2330" s="8" t="s">
        <v>14</v>
      </c>
      <c r="B2330" s="8" t="s">
        <v>16</v>
      </c>
      <c r="C2330" s="9" t="str">
        <f t="shared" si="48"/>
        <v>230116</v>
      </c>
      <c r="D2330" s="9" t="str">
        <f>"230903204"</f>
        <v>230903204</v>
      </c>
      <c r="E2330" s="10">
        <v>71.02</v>
      </c>
      <c r="F2330" s="10"/>
      <c r="G2330" s="10">
        <v>76</v>
      </c>
      <c r="H2330" s="10"/>
      <c r="I2330" s="10">
        <v>74.010000000000005</v>
      </c>
    </row>
    <row r="2331" spans="1:9" s="2" customFormat="1" ht="21.75" customHeight="1">
      <c r="A2331" s="8" t="s">
        <v>14</v>
      </c>
      <c r="B2331" s="8" t="s">
        <v>16</v>
      </c>
      <c r="C2331" s="9" t="str">
        <f t="shared" si="48"/>
        <v>230116</v>
      </c>
      <c r="D2331" s="9" t="str">
        <f>"230903013"</f>
        <v>230903013</v>
      </c>
      <c r="E2331" s="10">
        <v>76.98</v>
      </c>
      <c r="F2331" s="10"/>
      <c r="G2331" s="10">
        <v>72</v>
      </c>
      <c r="H2331" s="10"/>
      <c r="I2331" s="10">
        <v>73.989999999999995</v>
      </c>
    </row>
    <row r="2332" spans="1:9" s="2" customFormat="1" ht="21.75" customHeight="1">
      <c r="A2332" s="8" t="s">
        <v>14</v>
      </c>
      <c r="B2332" s="8" t="s">
        <v>16</v>
      </c>
      <c r="C2332" s="9" t="str">
        <f t="shared" si="48"/>
        <v>230116</v>
      </c>
      <c r="D2332" s="9" t="str">
        <f>"230903220"</f>
        <v>230903220</v>
      </c>
      <c r="E2332" s="10">
        <v>68.489999999999995</v>
      </c>
      <c r="F2332" s="10"/>
      <c r="G2332" s="10">
        <v>77.5</v>
      </c>
      <c r="H2332" s="10"/>
      <c r="I2332" s="10">
        <v>73.900000000000006</v>
      </c>
    </row>
    <row r="2333" spans="1:9" s="2" customFormat="1" ht="21.75" customHeight="1">
      <c r="A2333" s="8" t="s">
        <v>14</v>
      </c>
      <c r="B2333" s="8" t="s">
        <v>16</v>
      </c>
      <c r="C2333" s="9" t="str">
        <f t="shared" si="48"/>
        <v>230116</v>
      </c>
      <c r="D2333" s="9" t="str">
        <f>"230903206"</f>
        <v>230903206</v>
      </c>
      <c r="E2333" s="10">
        <v>73.540000000000006</v>
      </c>
      <c r="F2333" s="10"/>
      <c r="G2333" s="10">
        <v>74</v>
      </c>
      <c r="H2333" s="10"/>
      <c r="I2333" s="10">
        <v>73.819999999999993</v>
      </c>
    </row>
    <row r="2334" spans="1:9" s="3" customFormat="1" ht="21.75" customHeight="1">
      <c r="A2334" s="8" t="s">
        <v>14</v>
      </c>
      <c r="B2334" s="8" t="s">
        <v>16</v>
      </c>
      <c r="C2334" s="9" t="str">
        <f t="shared" si="48"/>
        <v>230116</v>
      </c>
      <c r="D2334" s="9" t="str">
        <f>"230902803"</f>
        <v>230902803</v>
      </c>
      <c r="E2334" s="10">
        <v>74.58</v>
      </c>
      <c r="F2334" s="10"/>
      <c r="G2334" s="10">
        <v>73</v>
      </c>
      <c r="H2334" s="10"/>
      <c r="I2334" s="10">
        <v>73.63</v>
      </c>
    </row>
    <row r="2335" spans="1:9" s="2" customFormat="1" ht="21.75" customHeight="1">
      <c r="A2335" s="8" t="s">
        <v>14</v>
      </c>
      <c r="B2335" s="8" t="s">
        <v>16</v>
      </c>
      <c r="C2335" s="9" t="str">
        <f t="shared" si="48"/>
        <v>230116</v>
      </c>
      <c r="D2335" s="9" t="str">
        <f>"230902717"</f>
        <v>230902717</v>
      </c>
      <c r="E2335" s="10">
        <v>76.66</v>
      </c>
      <c r="F2335" s="10"/>
      <c r="G2335" s="10">
        <v>71.5</v>
      </c>
      <c r="H2335" s="10"/>
      <c r="I2335" s="10">
        <v>73.56</v>
      </c>
    </row>
    <row r="2336" spans="1:9" s="2" customFormat="1" ht="21.75" customHeight="1">
      <c r="A2336" s="8" t="s">
        <v>14</v>
      </c>
      <c r="B2336" s="8" t="s">
        <v>16</v>
      </c>
      <c r="C2336" s="9" t="str">
        <f t="shared" si="48"/>
        <v>230116</v>
      </c>
      <c r="D2336" s="9" t="str">
        <f>"230902518"</f>
        <v>230902518</v>
      </c>
      <c r="E2336" s="10">
        <v>72.739999999999995</v>
      </c>
      <c r="F2336" s="10"/>
      <c r="G2336" s="10">
        <v>74</v>
      </c>
      <c r="H2336" s="10"/>
      <c r="I2336" s="10">
        <v>73.5</v>
      </c>
    </row>
    <row r="2337" spans="1:9" s="3" customFormat="1" ht="21.75" customHeight="1">
      <c r="A2337" s="8" t="s">
        <v>14</v>
      </c>
      <c r="B2337" s="8" t="s">
        <v>16</v>
      </c>
      <c r="C2337" s="9" t="str">
        <f t="shared" si="48"/>
        <v>230116</v>
      </c>
      <c r="D2337" s="9" t="str">
        <f>"230902825"</f>
        <v>230902825</v>
      </c>
      <c r="E2337" s="10">
        <v>68.260000000000005</v>
      </c>
      <c r="F2337" s="10"/>
      <c r="G2337" s="10">
        <v>77</v>
      </c>
      <c r="H2337" s="10"/>
      <c r="I2337" s="10">
        <v>73.5</v>
      </c>
    </row>
    <row r="2338" spans="1:9" s="2" customFormat="1" ht="21.75" customHeight="1">
      <c r="A2338" s="8" t="s">
        <v>14</v>
      </c>
      <c r="B2338" s="8" t="s">
        <v>16</v>
      </c>
      <c r="C2338" s="9" t="str">
        <f t="shared" si="48"/>
        <v>230116</v>
      </c>
      <c r="D2338" s="9" t="str">
        <f>"230902705"</f>
        <v>230902705</v>
      </c>
      <c r="E2338" s="10">
        <v>75.72</v>
      </c>
      <c r="F2338" s="10"/>
      <c r="G2338" s="10">
        <v>72</v>
      </c>
      <c r="H2338" s="10"/>
      <c r="I2338" s="10">
        <v>73.489999999999995</v>
      </c>
    </row>
    <row r="2339" spans="1:9" s="2" customFormat="1" ht="21.75" customHeight="1">
      <c r="A2339" s="8" t="s">
        <v>14</v>
      </c>
      <c r="B2339" s="8" t="s">
        <v>16</v>
      </c>
      <c r="C2339" s="9" t="str">
        <f t="shared" si="48"/>
        <v>230116</v>
      </c>
      <c r="D2339" s="9" t="str">
        <f>"230902511"</f>
        <v>230902511</v>
      </c>
      <c r="E2339" s="10">
        <v>67.33</v>
      </c>
      <c r="F2339" s="10"/>
      <c r="G2339" s="10">
        <v>77.5</v>
      </c>
      <c r="H2339" s="10"/>
      <c r="I2339" s="10">
        <v>73.430000000000007</v>
      </c>
    </row>
    <row r="2340" spans="1:9" s="2" customFormat="1" ht="21.75" customHeight="1">
      <c r="A2340" s="8" t="s">
        <v>14</v>
      </c>
      <c r="B2340" s="8" t="s">
        <v>16</v>
      </c>
      <c r="C2340" s="9" t="str">
        <f t="shared" si="48"/>
        <v>230116</v>
      </c>
      <c r="D2340" s="9" t="str">
        <f>"230902528"</f>
        <v>230902528</v>
      </c>
      <c r="E2340" s="10">
        <v>71.83</v>
      </c>
      <c r="F2340" s="10"/>
      <c r="G2340" s="10">
        <v>74.5</v>
      </c>
      <c r="H2340" s="10"/>
      <c r="I2340" s="10">
        <v>73.430000000000007</v>
      </c>
    </row>
    <row r="2341" spans="1:9" s="3" customFormat="1" ht="21.75" customHeight="1">
      <c r="A2341" s="8" t="s">
        <v>14</v>
      </c>
      <c r="B2341" s="8" t="s">
        <v>16</v>
      </c>
      <c r="C2341" s="9" t="str">
        <f t="shared" si="48"/>
        <v>230116</v>
      </c>
      <c r="D2341" s="9" t="str">
        <f>"230902501"</f>
        <v>230902501</v>
      </c>
      <c r="E2341" s="10">
        <v>69.41</v>
      </c>
      <c r="F2341" s="10"/>
      <c r="G2341" s="10">
        <v>76</v>
      </c>
      <c r="H2341" s="10"/>
      <c r="I2341" s="10">
        <v>73.36</v>
      </c>
    </row>
    <row r="2342" spans="1:9" s="2" customFormat="1" ht="21.75" customHeight="1">
      <c r="A2342" s="8" t="s">
        <v>14</v>
      </c>
      <c r="B2342" s="8" t="s">
        <v>16</v>
      </c>
      <c r="C2342" s="9" t="str">
        <f t="shared" si="48"/>
        <v>230116</v>
      </c>
      <c r="D2342" s="9" t="str">
        <f>"230902424"</f>
        <v>230902424</v>
      </c>
      <c r="E2342" s="10">
        <v>76.069999999999993</v>
      </c>
      <c r="F2342" s="10"/>
      <c r="G2342" s="10">
        <v>71.5</v>
      </c>
      <c r="H2342" s="10"/>
      <c r="I2342" s="10">
        <v>73.33</v>
      </c>
    </row>
    <row r="2343" spans="1:9" s="2" customFormat="1" ht="21.75" customHeight="1">
      <c r="A2343" s="8" t="s">
        <v>14</v>
      </c>
      <c r="B2343" s="8" t="s">
        <v>16</v>
      </c>
      <c r="C2343" s="9" t="str">
        <f t="shared" si="48"/>
        <v>230116</v>
      </c>
      <c r="D2343" s="9" t="str">
        <f>"230902626"</f>
        <v>230902626</v>
      </c>
      <c r="E2343" s="10">
        <v>72.17</v>
      </c>
      <c r="F2343" s="10"/>
      <c r="G2343" s="10">
        <v>74</v>
      </c>
      <c r="H2343" s="10"/>
      <c r="I2343" s="10">
        <v>73.27</v>
      </c>
    </row>
    <row r="2344" spans="1:9" s="2" customFormat="1" ht="21.75" customHeight="1">
      <c r="A2344" s="8" t="s">
        <v>14</v>
      </c>
      <c r="B2344" s="8" t="s">
        <v>16</v>
      </c>
      <c r="C2344" s="9" t="str">
        <f t="shared" si="48"/>
        <v>230116</v>
      </c>
      <c r="D2344" s="9" t="str">
        <f>"230903214"</f>
        <v>230903214</v>
      </c>
      <c r="E2344" s="10">
        <v>69.17</v>
      </c>
      <c r="F2344" s="10"/>
      <c r="G2344" s="10">
        <v>76</v>
      </c>
      <c r="H2344" s="10"/>
      <c r="I2344" s="10">
        <v>73.27</v>
      </c>
    </row>
    <row r="2345" spans="1:9" s="2" customFormat="1" ht="21.75" customHeight="1">
      <c r="A2345" s="8" t="s">
        <v>14</v>
      </c>
      <c r="B2345" s="8" t="s">
        <v>16</v>
      </c>
      <c r="C2345" s="9" t="str">
        <f t="shared" ref="C2345:C2408" si="49">"230116"</f>
        <v>230116</v>
      </c>
      <c r="D2345" s="9" t="str">
        <f>"230902625"</f>
        <v>230902625</v>
      </c>
      <c r="E2345" s="10">
        <v>74.349999999999994</v>
      </c>
      <c r="F2345" s="10"/>
      <c r="G2345" s="10">
        <v>72.5</v>
      </c>
      <c r="H2345" s="10"/>
      <c r="I2345" s="10">
        <v>73.239999999999995</v>
      </c>
    </row>
    <row r="2346" spans="1:9" s="3" customFormat="1" ht="21.75" customHeight="1">
      <c r="A2346" s="8" t="s">
        <v>14</v>
      </c>
      <c r="B2346" s="8" t="s">
        <v>16</v>
      </c>
      <c r="C2346" s="9" t="str">
        <f t="shared" si="49"/>
        <v>230116</v>
      </c>
      <c r="D2346" s="9" t="str">
        <f>"230902327"</f>
        <v>230902327</v>
      </c>
      <c r="E2346" s="10">
        <v>64.34</v>
      </c>
      <c r="F2346" s="10"/>
      <c r="G2346" s="10">
        <v>79</v>
      </c>
      <c r="H2346" s="10"/>
      <c r="I2346" s="10">
        <v>73.14</v>
      </c>
    </row>
    <row r="2347" spans="1:9" s="3" customFormat="1" ht="21.75" customHeight="1">
      <c r="A2347" s="8" t="s">
        <v>14</v>
      </c>
      <c r="B2347" s="8" t="s">
        <v>16</v>
      </c>
      <c r="C2347" s="9" t="str">
        <f t="shared" si="49"/>
        <v>230116</v>
      </c>
      <c r="D2347" s="9" t="str">
        <f>"230902302"</f>
        <v>230902302</v>
      </c>
      <c r="E2347" s="10">
        <v>73.31</v>
      </c>
      <c r="F2347" s="10"/>
      <c r="G2347" s="10">
        <v>73</v>
      </c>
      <c r="H2347" s="10"/>
      <c r="I2347" s="10">
        <v>73.12</v>
      </c>
    </row>
    <row r="2348" spans="1:9" s="3" customFormat="1" ht="21.75" customHeight="1">
      <c r="A2348" s="8" t="s">
        <v>14</v>
      </c>
      <c r="B2348" s="8" t="s">
        <v>16</v>
      </c>
      <c r="C2348" s="9" t="str">
        <f t="shared" si="49"/>
        <v>230116</v>
      </c>
      <c r="D2348" s="9" t="str">
        <f>"230902620"</f>
        <v>230902620</v>
      </c>
      <c r="E2348" s="10">
        <v>70.900000000000006</v>
      </c>
      <c r="F2348" s="10"/>
      <c r="G2348" s="10">
        <v>74.5</v>
      </c>
      <c r="H2348" s="10"/>
      <c r="I2348" s="10">
        <v>73.06</v>
      </c>
    </row>
    <row r="2349" spans="1:9" s="2" customFormat="1" ht="21.75" customHeight="1">
      <c r="A2349" s="8" t="s">
        <v>14</v>
      </c>
      <c r="B2349" s="8" t="s">
        <v>16</v>
      </c>
      <c r="C2349" s="9" t="str">
        <f t="shared" si="49"/>
        <v>230116</v>
      </c>
      <c r="D2349" s="9" t="str">
        <f>"230903122"</f>
        <v>230903122</v>
      </c>
      <c r="E2349" s="10">
        <v>74.569999999999993</v>
      </c>
      <c r="F2349" s="10"/>
      <c r="G2349" s="10">
        <v>72</v>
      </c>
      <c r="H2349" s="10"/>
      <c r="I2349" s="10">
        <v>73.03</v>
      </c>
    </row>
    <row r="2350" spans="1:9" s="2" customFormat="1" ht="21.75" customHeight="1">
      <c r="A2350" s="8" t="s">
        <v>14</v>
      </c>
      <c r="B2350" s="8" t="s">
        <v>16</v>
      </c>
      <c r="C2350" s="9" t="str">
        <f t="shared" si="49"/>
        <v>230116</v>
      </c>
      <c r="D2350" s="9" t="str">
        <f>"230903127"</f>
        <v>230903127</v>
      </c>
      <c r="E2350" s="10">
        <v>72.959999999999994</v>
      </c>
      <c r="F2350" s="10"/>
      <c r="G2350" s="10">
        <v>73</v>
      </c>
      <c r="H2350" s="10"/>
      <c r="I2350" s="10">
        <v>72.98</v>
      </c>
    </row>
    <row r="2351" spans="1:9" s="2" customFormat="1" ht="21.75" customHeight="1">
      <c r="A2351" s="8" t="s">
        <v>14</v>
      </c>
      <c r="B2351" s="8" t="s">
        <v>16</v>
      </c>
      <c r="C2351" s="9" t="str">
        <f t="shared" si="49"/>
        <v>230116</v>
      </c>
      <c r="D2351" s="9" t="str">
        <f>"230902918"</f>
        <v>230902918</v>
      </c>
      <c r="E2351" s="10">
        <v>66.87</v>
      </c>
      <c r="F2351" s="10"/>
      <c r="G2351" s="10">
        <v>77</v>
      </c>
      <c r="H2351" s="10"/>
      <c r="I2351" s="10">
        <v>72.95</v>
      </c>
    </row>
    <row r="2352" spans="1:9" s="2" customFormat="1" ht="21.75" customHeight="1">
      <c r="A2352" s="8" t="s">
        <v>14</v>
      </c>
      <c r="B2352" s="8" t="s">
        <v>16</v>
      </c>
      <c r="C2352" s="9" t="str">
        <f t="shared" si="49"/>
        <v>230116</v>
      </c>
      <c r="D2352" s="9" t="str">
        <f>"230902317"</f>
        <v>230902317</v>
      </c>
      <c r="E2352" s="10">
        <v>70.56</v>
      </c>
      <c r="F2352" s="10"/>
      <c r="G2352" s="10">
        <v>74.5</v>
      </c>
      <c r="H2352" s="10"/>
      <c r="I2352" s="10">
        <v>72.92</v>
      </c>
    </row>
    <row r="2353" spans="1:9" s="2" customFormat="1" ht="21.75" customHeight="1">
      <c r="A2353" s="8" t="s">
        <v>14</v>
      </c>
      <c r="B2353" s="8" t="s">
        <v>16</v>
      </c>
      <c r="C2353" s="9" t="str">
        <f t="shared" si="49"/>
        <v>230116</v>
      </c>
      <c r="D2353" s="9" t="str">
        <f>"230902714"</f>
        <v>230902714</v>
      </c>
      <c r="E2353" s="10">
        <v>72.73</v>
      </c>
      <c r="F2353" s="10"/>
      <c r="G2353" s="10">
        <v>73</v>
      </c>
      <c r="H2353" s="10"/>
      <c r="I2353" s="10">
        <v>72.89</v>
      </c>
    </row>
    <row r="2354" spans="1:9" s="3" customFormat="1" ht="21.75" customHeight="1">
      <c r="A2354" s="8" t="s">
        <v>14</v>
      </c>
      <c r="B2354" s="8" t="s">
        <v>16</v>
      </c>
      <c r="C2354" s="9" t="str">
        <f t="shared" si="49"/>
        <v>230116</v>
      </c>
      <c r="D2354" s="9" t="str">
        <f>"230903301"</f>
        <v>230903301</v>
      </c>
      <c r="E2354" s="10">
        <v>70.89</v>
      </c>
      <c r="F2354" s="10"/>
      <c r="G2354" s="10">
        <v>74</v>
      </c>
      <c r="H2354" s="10"/>
      <c r="I2354" s="10">
        <v>72.760000000000005</v>
      </c>
    </row>
    <row r="2355" spans="1:9" s="2" customFormat="1" ht="21.75" customHeight="1">
      <c r="A2355" s="8" t="s">
        <v>14</v>
      </c>
      <c r="B2355" s="8" t="s">
        <v>16</v>
      </c>
      <c r="C2355" s="9" t="str">
        <f t="shared" si="49"/>
        <v>230116</v>
      </c>
      <c r="D2355" s="9" t="str">
        <f>"230902928"</f>
        <v>230902928</v>
      </c>
      <c r="E2355" s="10">
        <v>67</v>
      </c>
      <c r="F2355" s="10"/>
      <c r="G2355" s="10">
        <v>76.5</v>
      </c>
      <c r="H2355" s="10"/>
      <c r="I2355" s="10">
        <v>72.7</v>
      </c>
    </row>
    <row r="2356" spans="1:9" s="3" customFormat="1" ht="21.75" customHeight="1">
      <c r="A2356" s="8" t="s">
        <v>14</v>
      </c>
      <c r="B2356" s="8" t="s">
        <v>16</v>
      </c>
      <c r="C2356" s="9" t="str">
        <f t="shared" si="49"/>
        <v>230116</v>
      </c>
      <c r="D2356" s="9" t="str">
        <f>"230902306"</f>
        <v>230902306</v>
      </c>
      <c r="E2356" s="10">
        <v>66.2</v>
      </c>
      <c r="F2356" s="10"/>
      <c r="G2356" s="10">
        <v>77</v>
      </c>
      <c r="H2356" s="10"/>
      <c r="I2356" s="10">
        <v>72.680000000000007</v>
      </c>
    </row>
    <row r="2357" spans="1:9" s="2" customFormat="1" ht="21.75" customHeight="1">
      <c r="A2357" s="8" t="s">
        <v>14</v>
      </c>
      <c r="B2357" s="8" t="s">
        <v>16</v>
      </c>
      <c r="C2357" s="9" t="str">
        <f t="shared" si="49"/>
        <v>230116</v>
      </c>
      <c r="D2357" s="9" t="str">
        <f>"230902909"</f>
        <v>230902909</v>
      </c>
      <c r="E2357" s="10">
        <v>72.040000000000006</v>
      </c>
      <c r="F2357" s="10"/>
      <c r="G2357" s="10">
        <v>73</v>
      </c>
      <c r="H2357" s="10"/>
      <c r="I2357" s="10">
        <v>72.62</v>
      </c>
    </row>
    <row r="2358" spans="1:9" s="2" customFormat="1" ht="21.75" customHeight="1">
      <c r="A2358" s="8" t="s">
        <v>14</v>
      </c>
      <c r="B2358" s="8" t="s">
        <v>16</v>
      </c>
      <c r="C2358" s="9" t="str">
        <f t="shared" si="49"/>
        <v>230116</v>
      </c>
      <c r="D2358" s="9" t="str">
        <f>"230902318"</f>
        <v>230902318</v>
      </c>
      <c r="E2358" s="10">
        <v>68.7</v>
      </c>
      <c r="F2358" s="10"/>
      <c r="G2358" s="10">
        <v>75</v>
      </c>
      <c r="H2358" s="10"/>
      <c r="I2358" s="10">
        <v>72.48</v>
      </c>
    </row>
    <row r="2359" spans="1:9" s="2" customFormat="1" ht="21.75" customHeight="1">
      <c r="A2359" s="8" t="s">
        <v>14</v>
      </c>
      <c r="B2359" s="8" t="s">
        <v>16</v>
      </c>
      <c r="C2359" s="9" t="str">
        <f t="shared" si="49"/>
        <v>230116</v>
      </c>
      <c r="D2359" s="9" t="str">
        <f>"230902721"</f>
        <v>230902721</v>
      </c>
      <c r="E2359" s="10">
        <v>68.709999999999994</v>
      </c>
      <c r="F2359" s="10"/>
      <c r="G2359" s="10">
        <v>75</v>
      </c>
      <c r="H2359" s="10"/>
      <c r="I2359" s="10">
        <v>72.48</v>
      </c>
    </row>
    <row r="2360" spans="1:9" s="2" customFormat="1" ht="21.75" customHeight="1">
      <c r="A2360" s="8" t="s">
        <v>14</v>
      </c>
      <c r="B2360" s="8" t="s">
        <v>16</v>
      </c>
      <c r="C2360" s="9" t="str">
        <f t="shared" si="49"/>
        <v>230116</v>
      </c>
      <c r="D2360" s="9" t="str">
        <f>"230902615"</f>
        <v>230902615</v>
      </c>
      <c r="E2360" s="10">
        <v>69.290000000000006</v>
      </c>
      <c r="F2360" s="10"/>
      <c r="G2360" s="10">
        <v>74.5</v>
      </c>
      <c r="H2360" s="10"/>
      <c r="I2360" s="10">
        <v>72.42</v>
      </c>
    </row>
    <row r="2361" spans="1:9" s="2" customFormat="1" ht="21.75" customHeight="1">
      <c r="A2361" s="8" t="s">
        <v>14</v>
      </c>
      <c r="B2361" s="8" t="s">
        <v>16</v>
      </c>
      <c r="C2361" s="9" t="str">
        <f t="shared" si="49"/>
        <v>230116</v>
      </c>
      <c r="D2361" s="9" t="str">
        <f>"230902305"</f>
        <v>230902305</v>
      </c>
      <c r="E2361" s="10">
        <v>68.47</v>
      </c>
      <c r="F2361" s="10"/>
      <c r="G2361" s="10">
        <v>75</v>
      </c>
      <c r="H2361" s="10"/>
      <c r="I2361" s="10">
        <v>72.39</v>
      </c>
    </row>
    <row r="2362" spans="1:9" s="3" customFormat="1" ht="21.75" customHeight="1">
      <c r="A2362" s="8" t="s">
        <v>14</v>
      </c>
      <c r="B2362" s="8" t="s">
        <v>16</v>
      </c>
      <c r="C2362" s="9" t="str">
        <f t="shared" si="49"/>
        <v>230116</v>
      </c>
      <c r="D2362" s="9" t="str">
        <f>"230903118"</f>
        <v>230903118</v>
      </c>
      <c r="E2362" s="10">
        <v>71.47</v>
      </c>
      <c r="F2362" s="10"/>
      <c r="G2362" s="10">
        <v>73</v>
      </c>
      <c r="H2362" s="10"/>
      <c r="I2362" s="10">
        <v>72.39</v>
      </c>
    </row>
    <row r="2363" spans="1:9" s="2" customFormat="1" ht="21.75" customHeight="1">
      <c r="A2363" s="8" t="s">
        <v>14</v>
      </c>
      <c r="B2363" s="8" t="s">
        <v>16</v>
      </c>
      <c r="C2363" s="9" t="str">
        <f t="shared" si="49"/>
        <v>230116</v>
      </c>
      <c r="D2363" s="9" t="str">
        <f>"230903012"</f>
        <v>230903012</v>
      </c>
      <c r="E2363" s="10">
        <v>72.16</v>
      </c>
      <c r="F2363" s="10"/>
      <c r="G2363" s="10">
        <v>72.5</v>
      </c>
      <c r="H2363" s="10"/>
      <c r="I2363" s="10">
        <v>72.36</v>
      </c>
    </row>
    <row r="2364" spans="1:9" s="2" customFormat="1" ht="21.75" customHeight="1">
      <c r="A2364" s="8" t="s">
        <v>14</v>
      </c>
      <c r="B2364" s="8" t="s">
        <v>16</v>
      </c>
      <c r="C2364" s="9" t="str">
        <f t="shared" si="49"/>
        <v>230116</v>
      </c>
      <c r="D2364" s="9" t="str">
        <f>"230902307"</f>
        <v>230902307</v>
      </c>
      <c r="E2364" s="10">
        <v>71.22</v>
      </c>
      <c r="F2364" s="10"/>
      <c r="G2364" s="10">
        <v>73</v>
      </c>
      <c r="H2364" s="10"/>
      <c r="I2364" s="10">
        <v>72.290000000000006</v>
      </c>
    </row>
    <row r="2365" spans="1:9" s="3" customFormat="1" ht="21.75" customHeight="1">
      <c r="A2365" s="8" t="s">
        <v>14</v>
      </c>
      <c r="B2365" s="8" t="s">
        <v>16</v>
      </c>
      <c r="C2365" s="9" t="str">
        <f t="shared" si="49"/>
        <v>230116</v>
      </c>
      <c r="D2365" s="9" t="str">
        <f>"230902513"</f>
        <v>230902513</v>
      </c>
      <c r="E2365" s="10">
        <v>69.400000000000006</v>
      </c>
      <c r="F2365" s="10"/>
      <c r="G2365" s="10">
        <v>74</v>
      </c>
      <c r="H2365" s="10"/>
      <c r="I2365" s="10">
        <v>72.16</v>
      </c>
    </row>
    <row r="2366" spans="1:9" s="2" customFormat="1" ht="21.75" customHeight="1">
      <c r="A2366" s="8" t="s">
        <v>14</v>
      </c>
      <c r="B2366" s="8" t="s">
        <v>16</v>
      </c>
      <c r="C2366" s="9" t="str">
        <f t="shared" si="49"/>
        <v>230116</v>
      </c>
      <c r="D2366" s="9" t="str">
        <f>"230902522"</f>
        <v>230902522</v>
      </c>
      <c r="E2366" s="10">
        <v>67.12</v>
      </c>
      <c r="F2366" s="10"/>
      <c r="G2366" s="10">
        <v>75.5</v>
      </c>
      <c r="H2366" s="10"/>
      <c r="I2366" s="10">
        <v>72.150000000000006</v>
      </c>
    </row>
    <row r="2367" spans="1:9" s="2" customFormat="1" ht="21.75" customHeight="1">
      <c r="A2367" s="8" t="s">
        <v>14</v>
      </c>
      <c r="B2367" s="8" t="s">
        <v>16</v>
      </c>
      <c r="C2367" s="9" t="str">
        <f t="shared" si="49"/>
        <v>230116</v>
      </c>
      <c r="D2367" s="9" t="str">
        <f>"230902413"</f>
        <v>230902413</v>
      </c>
      <c r="E2367" s="10">
        <v>73.64</v>
      </c>
      <c r="F2367" s="10"/>
      <c r="G2367" s="10">
        <v>71</v>
      </c>
      <c r="H2367" s="10"/>
      <c r="I2367" s="10">
        <v>72.06</v>
      </c>
    </row>
    <row r="2368" spans="1:9" s="2" customFormat="1" ht="21.75" customHeight="1">
      <c r="A2368" s="8" t="s">
        <v>14</v>
      </c>
      <c r="B2368" s="8" t="s">
        <v>16</v>
      </c>
      <c r="C2368" s="9" t="str">
        <f t="shared" si="49"/>
        <v>230116</v>
      </c>
      <c r="D2368" s="9" t="str">
        <f>"230902902"</f>
        <v>230902902</v>
      </c>
      <c r="E2368" s="10">
        <v>75.14</v>
      </c>
      <c r="F2368" s="10"/>
      <c r="G2368" s="10">
        <v>70</v>
      </c>
      <c r="H2368" s="10"/>
      <c r="I2368" s="10">
        <v>72.06</v>
      </c>
    </row>
    <row r="2369" spans="1:9" s="3" customFormat="1" ht="21.75" customHeight="1">
      <c r="A2369" s="8" t="s">
        <v>14</v>
      </c>
      <c r="B2369" s="8" t="s">
        <v>16</v>
      </c>
      <c r="C2369" s="9" t="str">
        <f t="shared" si="49"/>
        <v>230116</v>
      </c>
      <c r="D2369" s="9" t="str">
        <f>"230903128"</f>
        <v>230903128</v>
      </c>
      <c r="E2369" s="10">
        <v>73.66</v>
      </c>
      <c r="F2369" s="10"/>
      <c r="G2369" s="10">
        <v>71</v>
      </c>
      <c r="H2369" s="10"/>
      <c r="I2369" s="10">
        <v>72.06</v>
      </c>
    </row>
    <row r="2370" spans="1:9" s="2" customFormat="1" ht="21.75" customHeight="1">
      <c r="A2370" s="8" t="s">
        <v>14</v>
      </c>
      <c r="B2370" s="8" t="s">
        <v>16</v>
      </c>
      <c r="C2370" s="9" t="str">
        <f t="shared" si="49"/>
        <v>230116</v>
      </c>
      <c r="D2370" s="9" t="str">
        <f>"230903215"</f>
        <v>230903215</v>
      </c>
      <c r="E2370" s="10">
        <v>72.16</v>
      </c>
      <c r="F2370" s="10"/>
      <c r="G2370" s="10">
        <v>72</v>
      </c>
      <c r="H2370" s="10"/>
      <c r="I2370" s="10">
        <v>72.06</v>
      </c>
    </row>
    <row r="2371" spans="1:9" s="2" customFormat="1" ht="21.75" customHeight="1">
      <c r="A2371" s="8" t="s">
        <v>14</v>
      </c>
      <c r="B2371" s="8" t="s">
        <v>16</v>
      </c>
      <c r="C2371" s="9" t="str">
        <f t="shared" si="49"/>
        <v>230116</v>
      </c>
      <c r="D2371" s="9" t="str">
        <f>"230902916"</f>
        <v>230902916</v>
      </c>
      <c r="E2371" s="10">
        <v>74.23</v>
      </c>
      <c r="F2371" s="10"/>
      <c r="G2371" s="10">
        <v>70.5</v>
      </c>
      <c r="H2371" s="10"/>
      <c r="I2371" s="10">
        <v>71.989999999999995</v>
      </c>
    </row>
    <row r="2372" spans="1:9" s="3" customFormat="1" ht="21.75" customHeight="1">
      <c r="A2372" s="8" t="s">
        <v>14</v>
      </c>
      <c r="B2372" s="8" t="s">
        <v>16</v>
      </c>
      <c r="C2372" s="9" t="str">
        <f t="shared" si="49"/>
        <v>230116</v>
      </c>
      <c r="D2372" s="9" t="str">
        <f>"230902408"</f>
        <v>230902408</v>
      </c>
      <c r="E2372" s="10">
        <v>74.13</v>
      </c>
      <c r="F2372" s="10"/>
      <c r="G2372" s="10">
        <v>70.5</v>
      </c>
      <c r="H2372" s="10"/>
      <c r="I2372" s="10">
        <v>71.95</v>
      </c>
    </row>
    <row r="2373" spans="1:9" s="2" customFormat="1" ht="21.75" customHeight="1">
      <c r="A2373" s="8" t="s">
        <v>14</v>
      </c>
      <c r="B2373" s="8" t="s">
        <v>16</v>
      </c>
      <c r="C2373" s="9" t="str">
        <f t="shared" si="49"/>
        <v>230116</v>
      </c>
      <c r="D2373" s="9" t="str">
        <f>"230902926"</f>
        <v>230902926</v>
      </c>
      <c r="E2373" s="10">
        <v>71.790000000000006</v>
      </c>
      <c r="F2373" s="10"/>
      <c r="G2373" s="10">
        <v>72</v>
      </c>
      <c r="H2373" s="10"/>
      <c r="I2373" s="10">
        <v>71.92</v>
      </c>
    </row>
    <row r="2374" spans="1:9" s="3" customFormat="1" ht="21.75" customHeight="1">
      <c r="A2374" s="8" t="s">
        <v>14</v>
      </c>
      <c r="B2374" s="8" t="s">
        <v>16</v>
      </c>
      <c r="C2374" s="9" t="str">
        <f t="shared" si="49"/>
        <v>230116</v>
      </c>
      <c r="D2374" s="9" t="str">
        <f>"230902710"</f>
        <v>230902710</v>
      </c>
      <c r="E2374" s="10">
        <v>68.7</v>
      </c>
      <c r="F2374" s="10"/>
      <c r="G2374" s="10">
        <v>74</v>
      </c>
      <c r="H2374" s="10"/>
      <c r="I2374" s="10">
        <v>71.88</v>
      </c>
    </row>
    <row r="2375" spans="1:9" s="3" customFormat="1" ht="21.75" customHeight="1">
      <c r="A2375" s="8" t="s">
        <v>14</v>
      </c>
      <c r="B2375" s="8" t="s">
        <v>16</v>
      </c>
      <c r="C2375" s="9" t="str">
        <f t="shared" si="49"/>
        <v>230116</v>
      </c>
      <c r="D2375" s="9" t="str">
        <f>"230902915"</f>
        <v>230902915</v>
      </c>
      <c r="E2375" s="10">
        <v>68.709999999999994</v>
      </c>
      <c r="F2375" s="10"/>
      <c r="G2375" s="10">
        <v>74</v>
      </c>
      <c r="H2375" s="10"/>
      <c r="I2375" s="10">
        <v>71.88</v>
      </c>
    </row>
    <row r="2376" spans="1:9" s="2" customFormat="1" ht="21.75" customHeight="1">
      <c r="A2376" s="8" t="s">
        <v>14</v>
      </c>
      <c r="B2376" s="8" t="s">
        <v>16</v>
      </c>
      <c r="C2376" s="9" t="str">
        <f t="shared" si="49"/>
        <v>230116</v>
      </c>
      <c r="D2376" s="9" t="str">
        <f>"230902814"</f>
        <v>230902814</v>
      </c>
      <c r="E2376" s="10">
        <v>66.430000000000007</v>
      </c>
      <c r="F2376" s="10"/>
      <c r="G2376" s="10">
        <v>75.5</v>
      </c>
      <c r="H2376" s="10"/>
      <c r="I2376" s="10">
        <v>71.87</v>
      </c>
    </row>
    <row r="2377" spans="1:9" s="2" customFormat="1" ht="21.75" customHeight="1">
      <c r="A2377" s="8" t="s">
        <v>14</v>
      </c>
      <c r="B2377" s="8" t="s">
        <v>16</v>
      </c>
      <c r="C2377" s="9" t="str">
        <f t="shared" si="49"/>
        <v>230116</v>
      </c>
      <c r="D2377" s="9" t="str">
        <f>"230903027"</f>
        <v>230903027</v>
      </c>
      <c r="E2377" s="10">
        <v>69.42</v>
      </c>
      <c r="F2377" s="10"/>
      <c r="G2377" s="10">
        <v>73.5</v>
      </c>
      <c r="H2377" s="10"/>
      <c r="I2377" s="10">
        <v>71.87</v>
      </c>
    </row>
    <row r="2378" spans="1:9" s="2" customFormat="1" ht="21.75" customHeight="1">
      <c r="A2378" s="8" t="s">
        <v>14</v>
      </c>
      <c r="B2378" s="8" t="s">
        <v>16</v>
      </c>
      <c r="C2378" s="9" t="str">
        <f t="shared" si="49"/>
        <v>230116</v>
      </c>
      <c r="D2378" s="9" t="str">
        <f>"230903113"</f>
        <v>230903113</v>
      </c>
      <c r="E2378" s="10">
        <v>73.87</v>
      </c>
      <c r="F2378" s="10"/>
      <c r="G2378" s="10">
        <v>70.5</v>
      </c>
      <c r="H2378" s="10"/>
      <c r="I2378" s="10">
        <v>71.849999999999994</v>
      </c>
    </row>
    <row r="2379" spans="1:9" s="2" customFormat="1" ht="21.75" customHeight="1">
      <c r="A2379" s="8" t="s">
        <v>14</v>
      </c>
      <c r="B2379" s="8" t="s">
        <v>16</v>
      </c>
      <c r="C2379" s="9" t="str">
        <f t="shared" si="49"/>
        <v>230116</v>
      </c>
      <c r="D2379" s="9" t="str">
        <f>"230903209"</f>
        <v>230903209</v>
      </c>
      <c r="E2379" s="10">
        <v>72.37</v>
      </c>
      <c r="F2379" s="10"/>
      <c r="G2379" s="10">
        <v>71.5</v>
      </c>
      <c r="H2379" s="10"/>
      <c r="I2379" s="10">
        <v>71.849999999999994</v>
      </c>
    </row>
    <row r="2380" spans="1:9" s="2" customFormat="1" ht="21.75" customHeight="1">
      <c r="A2380" s="8" t="s">
        <v>14</v>
      </c>
      <c r="B2380" s="8" t="s">
        <v>16</v>
      </c>
      <c r="C2380" s="9" t="str">
        <f t="shared" si="49"/>
        <v>230116</v>
      </c>
      <c r="D2380" s="9" t="str">
        <f>"230902706"</f>
        <v>230902706</v>
      </c>
      <c r="E2380" s="10">
        <v>64.78</v>
      </c>
      <c r="F2380" s="10"/>
      <c r="G2380" s="10">
        <v>76.5</v>
      </c>
      <c r="H2380" s="10"/>
      <c r="I2380" s="10">
        <v>71.81</v>
      </c>
    </row>
    <row r="2381" spans="1:9" s="3" customFormat="1" ht="21.75" customHeight="1">
      <c r="A2381" s="8" t="s">
        <v>14</v>
      </c>
      <c r="B2381" s="8" t="s">
        <v>16</v>
      </c>
      <c r="C2381" s="9" t="str">
        <f t="shared" si="49"/>
        <v>230116</v>
      </c>
      <c r="D2381" s="9" t="str">
        <f>"230902502"</f>
        <v>230902502</v>
      </c>
      <c r="E2381" s="10">
        <v>71.23</v>
      </c>
      <c r="F2381" s="10"/>
      <c r="G2381" s="10">
        <v>72</v>
      </c>
      <c r="H2381" s="10"/>
      <c r="I2381" s="10">
        <v>71.69</v>
      </c>
    </row>
    <row r="2382" spans="1:9" s="2" customFormat="1" ht="21.75" customHeight="1">
      <c r="A2382" s="8" t="s">
        <v>14</v>
      </c>
      <c r="B2382" s="8" t="s">
        <v>16</v>
      </c>
      <c r="C2382" s="9" t="str">
        <f t="shared" si="49"/>
        <v>230116</v>
      </c>
      <c r="D2382" s="9" t="str">
        <f>"230903011"</f>
        <v>230903011</v>
      </c>
      <c r="E2382" s="10">
        <v>65.14</v>
      </c>
      <c r="F2382" s="10"/>
      <c r="G2382" s="10">
        <v>76</v>
      </c>
      <c r="H2382" s="10"/>
      <c r="I2382" s="10">
        <v>71.66</v>
      </c>
    </row>
    <row r="2383" spans="1:9" s="3" customFormat="1" ht="21.75" customHeight="1">
      <c r="A2383" s="8" t="s">
        <v>14</v>
      </c>
      <c r="B2383" s="8" t="s">
        <v>16</v>
      </c>
      <c r="C2383" s="9" t="str">
        <f t="shared" si="49"/>
        <v>230116</v>
      </c>
      <c r="D2383" s="9" t="str">
        <f>"230902904"</f>
        <v>230902904</v>
      </c>
      <c r="E2383" s="10">
        <v>72.5</v>
      </c>
      <c r="F2383" s="10"/>
      <c r="G2383" s="10">
        <v>71</v>
      </c>
      <c r="H2383" s="10"/>
      <c r="I2383" s="10">
        <v>71.599999999999994</v>
      </c>
    </row>
    <row r="2384" spans="1:9" s="3" customFormat="1" ht="21.75" customHeight="1">
      <c r="A2384" s="8" t="s">
        <v>14</v>
      </c>
      <c r="B2384" s="8" t="s">
        <v>16</v>
      </c>
      <c r="C2384" s="9" t="str">
        <f t="shared" si="49"/>
        <v>230116</v>
      </c>
      <c r="D2384" s="9" t="str">
        <f>"230902613"</f>
        <v>230902613</v>
      </c>
      <c r="E2384" s="10">
        <v>71.69</v>
      </c>
      <c r="F2384" s="10"/>
      <c r="G2384" s="10">
        <v>71.5</v>
      </c>
      <c r="H2384" s="10"/>
      <c r="I2384" s="10">
        <v>71.58</v>
      </c>
    </row>
    <row r="2385" spans="1:9" s="2" customFormat="1" ht="21.75" customHeight="1">
      <c r="A2385" s="8" t="s">
        <v>14</v>
      </c>
      <c r="B2385" s="8" t="s">
        <v>16</v>
      </c>
      <c r="C2385" s="9" t="str">
        <f t="shared" si="49"/>
        <v>230116</v>
      </c>
      <c r="D2385" s="9" t="str">
        <f>"230903120"</f>
        <v>230903120</v>
      </c>
      <c r="E2385" s="10">
        <v>67.92</v>
      </c>
      <c r="F2385" s="10"/>
      <c r="G2385" s="10">
        <v>74</v>
      </c>
      <c r="H2385" s="10"/>
      <c r="I2385" s="10">
        <v>71.569999999999993</v>
      </c>
    </row>
    <row r="2386" spans="1:9" s="2" customFormat="1" ht="21.75" customHeight="1">
      <c r="A2386" s="8" t="s">
        <v>14</v>
      </c>
      <c r="B2386" s="8" t="s">
        <v>16</v>
      </c>
      <c r="C2386" s="9" t="str">
        <f t="shared" si="49"/>
        <v>230116</v>
      </c>
      <c r="D2386" s="9" t="str">
        <f>"230903202"</f>
        <v>230903202</v>
      </c>
      <c r="E2386" s="10">
        <v>76.87</v>
      </c>
      <c r="F2386" s="10"/>
      <c r="G2386" s="10">
        <v>68</v>
      </c>
      <c r="H2386" s="10"/>
      <c r="I2386" s="10">
        <v>71.55</v>
      </c>
    </row>
    <row r="2387" spans="1:9" s="3" customFormat="1" ht="21.75" customHeight="1">
      <c r="A2387" s="8" t="s">
        <v>14</v>
      </c>
      <c r="B2387" s="8" t="s">
        <v>16</v>
      </c>
      <c r="C2387" s="9" t="str">
        <f t="shared" si="49"/>
        <v>230116</v>
      </c>
      <c r="D2387" s="9" t="str">
        <f>"230903006"</f>
        <v>230903006</v>
      </c>
      <c r="E2387" s="10">
        <v>68.47</v>
      </c>
      <c r="F2387" s="10"/>
      <c r="G2387" s="10">
        <v>73.5</v>
      </c>
      <c r="H2387" s="10"/>
      <c r="I2387" s="10">
        <v>71.489999999999995</v>
      </c>
    </row>
    <row r="2388" spans="1:9" s="2" customFormat="1" ht="21.75" customHeight="1">
      <c r="A2388" s="8" t="s">
        <v>14</v>
      </c>
      <c r="B2388" s="8" t="s">
        <v>16</v>
      </c>
      <c r="C2388" s="9" t="str">
        <f t="shared" si="49"/>
        <v>230116</v>
      </c>
      <c r="D2388" s="9" t="str">
        <f>"230903205"</f>
        <v>230903205</v>
      </c>
      <c r="E2388" s="10">
        <v>69.959999999999994</v>
      </c>
      <c r="F2388" s="10"/>
      <c r="G2388" s="10">
        <v>72.5</v>
      </c>
      <c r="H2388" s="10"/>
      <c r="I2388" s="10">
        <v>71.48</v>
      </c>
    </row>
    <row r="2389" spans="1:9" s="2" customFormat="1" ht="21.75" customHeight="1">
      <c r="A2389" s="8" t="s">
        <v>14</v>
      </c>
      <c r="B2389" s="8" t="s">
        <v>16</v>
      </c>
      <c r="C2389" s="9" t="str">
        <f t="shared" si="49"/>
        <v>230116</v>
      </c>
      <c r="D2389" s="9" t="str">
        <f>"230902616"</f>
        <v>230902616</v>
      </c>
      <c r="E2389" s="10">
        <v>66.63</v>
      </c>
      <c r="F2389" s="10"/>
      <c r="G2389" s="10">
        <v>74.5</v>
      </c>
      <c r="H2389" s="10"/>
      <c r="I2389" s="10">
        <v>71.349999999999994</v>
      </c>
    </row>
    <row r="2390" spans="1:9" s="2" customFormat="1" ht="21.75" customHeight="1">
      <c r="A2390" s="8" t="s">
        <v>14</v>
      </c>
      <c r="B2390" s="8" t="s">
        <v>16</v>
      </c>
      <c r="C2390" s="9" t="str">
        <f t="shared" si="49"/>
        <v>230116</v>
      </c>
      <c r="D2390" s="9" t="str">
        <f>"230902920"</f>
        <v>230902920</v>
      </c>
      <c r="E2390" s="10">
        <v>70.78</v>
      </c>
      <c r="F2390" s="10"/>
      <c r="G2390" s="10">
        <v>71.5</v>
      </c>
      <c r="H2390" s="10"/>
      <c r="I2390" s="10">
        <v>71.209999999999994</v>
      </c>
    </row>
    <row r="2391" spans="1:9" s="3" customFormat="1" ht="21.75" customHeight="1">
      <c r="A2391" s="8" t="s">
        <v>14</v>
      </c>
      <c r="B2391" s="8" t="s">
        <v>16</v>
      </c>
      <c r="C2391" s="9" t="str">
        <f t="shared" si="49"/>
        <v>230116</v>
      </c>
      <c r="D2391" s="9" t="str">
        <f>"230903223"</f>
        <v>230903223</v>
      </c>
      <c r="E2391" s="10">
        <v>66.98</v>
      </c>
      <c r="F2391" s="10"/>
      <c r="G2391" s="10">
        <v>74</v>
      </c>
      <c r="H2391" s="10"/>
      <c r="I2391" s="10">
        <v>71.19</v>
      </c>
    </row>
    <row r="2392" spans="1:9" s="2" customFormat="1" ht="21.75" customHeight="1">
      <c r="A2392" s="8" t="s">
        <v>14</v>
      </c>
      <c r="B2392" s="8" t="s">
        <v>16</v>
      </c>
      <c r="C2392" s="9" t="str">
        <f t="shared" si="49"/>
        <v>230116</v>
      </c>
      <c r="D2392" s="9" t="str">
        <f>"230902713"</f>
        <v>230902713</v>
      </c>
      <c r="E2392" s="10">
        <v>68.95</v>
      </c>
      <c r="F2392" s="10"/>
      <c r="G2392" s="10">
        <v>72.5</v>
      </c>
      <c r="H2392" s="10"/>
      <c r="I2392" s="10">
        <v>71.08</v>
      </c>
    </row>
    <row r="2393" spans="1:9" s="2" customFormat="1" ht="21.75" customHeight="1">
      <c r="A2393" s="8" t="s">
        <v>14</v>
      </c>
      <c r="B2393" s="8" t="s">
        <v>16</v>
      </c>
      <c r="C2393" s="9" t="str">
        <f t="shared" si="49"/>
        <v>230116</v>
      </c>
      <c r="D2393" s="9" t="str">
        <f>"230902829"</f>
        <v>230902829</v>
      </c>
      <c r="E2393" s="10">
        <v>68.13</v>
      </c>
      <c r="F2393" s="10"/>
      <c r="G2393" s="10">
        <v>73</v>
      </c>
      <c r="H2393" s="10"/>
      <c r="I2393" s="10">
        <v>71.05</v>
      </c>
    </row>
    <row r="2394" spans="1:9" s="2" customFormat="1" ht="21.75" customHeight="1">
      <c r="A2394" s="8" t="s">
        <v>14</v>
      </c>
      <c r="B2394" s="8" t="s">
        <v>16</v>
      </c>
      <c r="C2394" s="9" t="str">
        <f t="shared" si="49"/>
        <v>230116</v>
      </c>
      <c r="D2394" s="9" t="str">
        <f>"230903114"</f>
        <v>230903114</v>
      </c>
      <c r="E2394" s="10">
        <v>65.03</v>
      </c>
      <c r="F2394" s="10"/>
      <c r="G2394" s="10">
        <v>75</v>
      </c>
      <c r="H2394" s="10"/>
      <c r="I2394" s="10">
        <v>71.010000000000005</v>
      </c>
    </row>
    <row r="2395" spans="1:9" s="3" customFormat="1" ht="21.75" customHeight="1">
      <c r="A2395" s="8" t="s">
        <v>14</v>
      </c>
      <c r="B2395" s="8" t="s">
        <v>16</v>
      </c>
      <c r="C2395" s="9" t="str">
        <f t="shared" si="49"/>
        <v>230116</v>
      </c>
      <c r="D2395" s="9" t="str">
        <f>"230902826"</f>
        <v>230902826</v>
      </c>
      <c r="E2395" s="10">
        <v>68.709999999999994</v>
      </c>
      <c r="F2395" s="10"/>
      <c r="G2395" s="10">
        <v>72.5</v>
      </c>
      <c r="H2395" s="10"/>
      <c r="I2395" s="10">
        <v>70.98</v>
      </c>
    </row>
    <row r="2396" spans="1:9" s="2" customFormat="1" ht="21.75" customHeight="1">
      <c r="A2396" s="8" t="s">
        <v>14</v>
      </c>
      <c r="B2396" s="8" t="s">
        <v>16</v>
      </c>
      <c r="C2396" s="9" t="str">
        <f t="shared" si="49"/>
        <v>230116</v>
      </c>
      <c r="D2396" s="9" t="str">
        <f>"230902621"</f>
        <v>230902621</v>
      </c>
      <c r="E2396" s="10">
        <v>66.430000000000007</v>
      </c>
      <c r="F2396" s="10"/>
      <c r="G2396" s="10">
        <v>74</v>
      </c>
      <c r="H2396" s="10"/>
      <c r="I2396" s="10">
        <v>70.97</v>
      </c>
    </row>
    <row r="2397" spans="1:9" s="2" customFormat="1" ht="21.75" customHeight="1">
      <c r="A2397" s="8" t="s">
        <v>14</v>
      </c>
      <c r="B2397" s="8" t="s">
        <v>16</v>
      </c>
      <c r="C2397" s="9" t="str">
        <f t="shared" si="49"/>
        <v>230116</v>
      </c>
      <c r="D2397" s="9" t="str">
        <f>"230902321"</f>
        <v>230902321</v>
      </c>
      <c r="E2397" s="10">
        <v>69.97</v>
      </c>
      <c r="F2397" s="10"/>
      <c r="G2397" s="10">
        <v>71.5</v>
      </c>
      <c r="H2397" s="10"/>
      <c r="I2397" s="10">
        <v>70.89</v>
      </c>
    </row>
    <row r="2398" spans="1:9" s="2" customFormat="1" ht="21.75" customHeight="1">
      <c r="A2398" s="8" t="s">
        <v>14</v>
      </c>
      <c r="B2398" s="8" t="s">
        <v>16</v>
      </c>
      <c r="C2398" s="9" t="str">
        <f t="shared" si="49"/>
        <v>230116</v>
      </c>
      <c r="D2398" s="9" t="str">
        <f>"230902406"</f>
        <v>230902406</v>
      </c>
      <c r="E2398" s="10">
        <v>68.25</v>
      </c>
      <c r="F2398" s="10"/>
      <c r="G2398" s="10">
        <v>72.5</v>
      </c>
      <c r="H2398" s="10"/>
      <c r="I2398" s="10">
        <v>70.8</v>
      </c>
    </row>
    <row r="2399" spans="1:9" s="2" customFormat="1" ht="21.75" customHeight="1">
      <c r="A2399" s="8" t="s">
        <v>14</v>
      </c>
      <c r="B2399" s="8" t="s">
        <v>16</v>
      </c>
      <c r="C2399" s="9" t="str">
        <f t="shared" si="49"/>
        <v>230116</v>
      </c>
      <c r="D2399" s="9" t="str">
        <f>"230903110"</f>
        <v>230903110</v>
      </c>
      <c r="E2399" s="10">
        <v>68.709999999999994</v>
      </c>
      <c r="F2399" s="10"/>
      <c r="G2399" s="10">
        <v>72</v>
      </c>
      <c r="H2399" s="10"/>
      <c r="I2399" s="10">
        <v>70.680000000000007</v>
      </c>
    </row>
    <row r="2400" spans="1:9" s="2" customFormat="1" ht="21.75" customHeight="1">
      <c r="A2400" s="8" t="s">
        <v>14</v>
      </c>
      <c r="B2400" s="8" t="s">
        <v>16</v>
      </c>
      <c r="C2400" s="9" t="str">
        <f t="shared" si="49"/>
        <v>230116</v>
      </c>
      <c r="D2400" s="9" t="str">
        <f>"230902622"</f>
        <v>230902622</v>
      </c>
      <c r="E2400" s="10">
        <v>73.64</v>
      </c>
      <c r="F2400" s="10"/>
      <c r="G2400" s="10">
        <v>68.5</v>
      </c>
      <c r="H2400" s="10"/>
      <c r="I2400" s="10">
        <v>70.56</v>
      </c>
    </row>
    <row r="2401" spans="1:9" s="2" customFormat="1" ht="21.75" customHeight="1">
      <c r="A2401" s="8" t="s">
        <v>14</v>
      </c>
      <c r="B2401" s="8" t="s">
        <v>16</v>
      </c>
      <c r="C2401" s="9" t="str">
        <f t="shared" si="49"/>
        <v>230116</v>
      </c>
      <c r="D2401" s="9" t="str">
        <f>"230902727"</f>
        <v>230902727</v>
      </c>
      <c r="E2401" s="10">
        <v>64.47</v>
      </c>
      <c r="F2401" s="10"/>
      <c r="G2401" s="10">
        <v>74.5</v>
      </c>
      <c r="H2401" s="10"/>
      <c r="I2401" s="10">
        <v>70.489999999999995</v>
      </c>
    </row>
    <row r="2402" spans="1:9" s="2" customFormat="1" ht="21.75" customHeight="1">
      <c r="A2402" s="8" t="s">
        <v>14</v>
      </c>
      <c r="B2402" s="8" t="s">
        <v>16</v>
      </c>
      <c r="C2402" s="9" t="str">
        <f t="shared" si="49"/>
        <v>230116</v>
      </c>
      <c r="D2402" s="9" t="str">
        <f>"230902529"</f>
        <v>230902529</v>
      </c>
      <c r="E2402" s="10">
        <v>66.650000000000006</v>
      </c>
      <c r="F2402" s="10"/>
      <c r="G2402" s="10">
        <v>73</v>
      </c>
      <c r="H2402" s="10"/>
      <c r="I2402" s="10">
        <v>70.459999999999994</v>
      </c>
    </row>
    <row r="2403" spans="1:9" s="3" customFormat="1" ht="21.75" customHeight="1">
      <c r="A2403" s="8" t="s">
        <v>14</v>
      </c>
      <c r="B2403" s="8" t="s">
        <v>16</v>
      </c>
      <c r="C2403" s="9" t="str">
        <f t="shared" si="49"/>
        <v>230116</v>
      </c>
      <c r="D2403" s="9" t="str">
        <f>"230902419"</f>
        <v>230902419</v>
      </c>
      <c r="E2403" s="10">
        <v>65.72</v>
      </c>
      <c r="F2403" s="10"/>
      <c r="G2403" s="10">
        <v>73.5</v>
      </c>
      <c r="H2403" s="10"/>
      <c r="I2403" s="10">
        <v>70.39</v>
      </c>
    </row>
    <row r="2404" spans="1:9" s="2" customFormat="1" ht="21.75" customHeight="1">
      <c r="A2404" s="8" t="s">
        <v>14</v>
      </c>
      <c r="B2404" s="8" t="s">
        <v>16</v>
      </c>
      <c r="C2404" s="9" t="str">
        <f t="shared" si="49"/>
        <v>230116</v>
      </c>
      <c r="D2404" s="9" t="str">
        <f>"230903230"</f>
        <v>230903230</v>
      </c>
      <c r="E2404" s="10">
        <v>65.510000000000005</v>
      </c>
      <c r="F2404" s="10"/>
      <c r="G2404" s="10">
        <v>73.5</v>
      </c>
      <c r="H2404" s="10"/>
      <c r="I2404" s="10">
        <v>70.3</v>
      </c>
    </row>
    <row r="2405" spans="1:9" s="3" customFormat="1" ht="21.75" customHeight="1">
      <c r="A2405" s="8" t="s">
        <v>14</v>
      </c>
      <c r="B2405" s="8" t="s">
        <v>16</v>
      </c>
      <c r="C2405" s="9" t="str">
        <f t="shared" si="49"/>
        <v>230116</v>
      </c>
      <c r="D2405" s="9" t="str">
        <f>"230902827"</f>
        <v>230902827</v>
      </c>
      <c r="E2405" s="10">
        <v>72.16</v>
      </c>
      <c r="F2405" s="10"/>
      <c r="G2405" s="10">
        <v>69</v>
      </c>
      <c r="H2405" s="10"/>
      <c r="I2405" s="10">
        <v>70.260000000000005</v>
      </c>
    </row>
    <row r="2406" spans="1:9" s="2" customFormat="1" ht="21.75" customHeight="1">
      <c r="A2406" s="8" t="s">
        <v>14</v>
      </c>
      <c r="B2406" s="8" t="s">
        <v>16</v>
      </c>
      <c r="C2406" s="9" t="str">
        <f t="shared" si="49"/>
        <v>230116</v>
      </c>
      <c r="D2406" s="9" t="str">
        <f>"230903207"</f>
        <v>230903207</v>
      </c>
      <c r="E2406" s="10">
        <v>62.62</v>
      </c>
      <c r="F2406" s="10"/>
      <c r="G2406" s="10">
        <v>75</v>
      </c>
      <c r="H2406" s="10"/>
      <c r="I2406" s="10">
        <v>70.05</v>
      </c>
    </row>
    <row r="2407" spans="1:9" s="3" customFormat="1" ht="21.75" customHeight="1">
      <c r="A2407" s="8" t="s">
        <v>14</v>
      </c>
      <c r="B2407" s="8" t="s">
        <v>16</v>
      </c>
      <c r="C2407" s="9" t="str">
        <f t="shared" si="49"/>
        <v>230116</v>
      </c>
      <c r="D2407" s="9" t="str">
        <f>"230902313"</f>
        <v>230902313</v>
      </c>
      <c r="E2407" s="10">
        <v>59.5</v>
      </c>
      <c r="F2407" s="10"/>
      <c r="G2407" s="10">
        <v>77</v>
      </c>
      <c r="H2407" s="10"/>
      <c r="I2407" s="10">
        <v>70</v>
      </c>
    </row>
    <row r="2408" spans="1:9" s="2" customFormat="1" ht="21.75" customHeight="1">
      <c r="A2408" s="8" t="s">
        <v>14</v>
      </c>
      <c r="B2408" s="8" t="s">
        <v>16</v>
      </c>
      <c r="C2408" s="9" t="str">
        <f t="shared" si="49"/>
        <v>230116</v>
      </c>
      <c r="D2408" s="9" t="str">
        <f>"230903115"</f>
        <v>230903115</v>
      </c>
      <c r="E2408" s="10">
        <v>71.260000000000005</v>
      </c>
      <c r="F2408" s="10"/>
      <c r="G2408" s="10">
        <v>69</v>
      </c>
      <c r="H2408" s="10"/>
      <c r="I2408" s="10">
        <v>69.900000000000006</v>
      </c>
    </row>
    <row r="2409" spans="1:9" s="2" customFormat="1" ht="21.75" customHeight="1">
      <c r="A2409" s="8" t="s">
        <v>14</v>
      </c>
      <c r="B2409" s="8" t="s">
        <v>16</v>
      </c>
      <c r="C2409" s="9" t="str">
        <f t="shared" ref="C2409:C2472" si="50">"230116"</f>
        <v>230116</v>
      </c>
      <c r="D2409" s="9" t="str">
        <f>"230903009"</f>
        <v>230903009</v>
      </c>
      <c r="E2409" s="10">
        <v>66.989999999999995</v>
      </c>
      <c r="F2409" s="10"/>
      <c r="G2409" s="10">
        <v>71.5</v>
      </c>
      <c r="H2409" s="10"/>
      <c r="I2409" s="10">
        <v>69.7</v>
      </c>
    </row>
    <row r="2410" spans="1:9" s="2" customFormat="1" ht="21.75" customHeight="1">
      <c r="A2410" s="8" t="s">
        <v>14</v>
      </c>
      <c r="B2410" s="8" t="s">
        <v>16</v>
      </c>
      <c r="C2410" s="9" t="str">
        <f t="shared" si="50"/>
        <v>230116</v>
      </c>
      <c r="D2410" s="9" t="str">
        <f>"230903216"</f>
        <v>230903216</v>
      </c>
      <c r="E2410" s="10">
        <v>58.7</v>
      </c>
      <c r="F2410" s="10"/>
      <c r="G2410" s="10">
        <v>77</v>
      </c>
      <c r="H2410" s="10"/>
      <c r="I2410" s="10">
        <v>69.680000000000007</v>
      </c>
    </row>
    <row r="2411" spans="1:9" s="2" customFormat="1" ht="21.75" customHeight="1">
      <c r="A2411" s="8" t="s">
        <v>14</v>
      </c>
      <c r="B2411" s="8" t="s">
        <v>16</v>
      </c>
      <c r="C2411" s="9" t="str">
        <f t="shared" si="50"/>
        <v>230116</v>
      </c>
      <c r="D2411" s="9" t="str">
        <f>"230902308"</f>
        <v>230902308</v>
      </c>
      <c r="E2411" s="10">
        <v>71.260000000000005</v>
      </c>
      <c r="F2411" s="10"/>
      <c r="G2411" s="10">
        <v>68.5</v>
      </c>
      <c r="H2411" s="10"/>
      <c r="I2411" s="10">
        <v>69.599999999999994</v>
      </c>
    </row>
    <row r="2412" spans="1:9" s="2" customFormat="1" ht="21.75" customHeight="1">
      <c r="A2412" s="8" t="s">
        <v>14</v>
      </c>
      <c r="B2412" s="8" t="s">
        <v>16</v>
      </c>
      <c r="C2412" s="9" t="str">
        <f t="shared" si="50"/>
        <v>230116</v>
      </c>
      <c r="D2412" s="9" t="str">
        <f>"230903007"</f>
        <v>230903007</v>
      </c>
      <c r="E2412" s="10">
        <v>64.44</v>
      </c>
      <c r="F2412" s="10"/>
      <c r="G2412" s="10">
        <v>73</v>
      </c>
      <c r="H2412" s="10"/>
      <c r="I2412" s="10">
        <v>69.58</v>
      </c>
    </row>
    <row r="2413" spans="1:9" s="2" customFormat="1" ht="21.75" customHeight="1">
      <c r="A2413" s="8" t="s">
        <v>14</v>
      </c>
      <c r="B2413" s="8" t="s">
        <v>16</v>
      </c>
      <c r="C2413" s="9" t="str">
        <f t="shared" si="50"/>
        <v>230116</v>
      </c>
      <c r="D2413" s="9" t="str">
        <f>"230902428"</f>
        <v>230902428</v>
      </c>
      <c r="E2413" s="10">
        <v>57.32</v>
      </c>
      <c r="F2413" s="10"/>
      <c r="G2413" s="10">
        <v>77.5</v>
      </c>
      <c r="H2413" s="10"/>
      <c r="I2413" s="10">
        <v>69.430000000000007</v>
      </c>
    </row>
    <row r="2414" spans="1:9" s="2" customFormat="1" ht="21.75" customHeight="1">
      <c r="A2414" s="8" t="s">
        <v>14</v>
      </c>
      <c r="B2414" s="8" t="s">
        <v>16</v>
      </c>
      <c r="C2414" s="9" t="str">
        <f t="shared" si="50"/>
        <v>230116</v>
      </c>
      <c r="D2414" s="9" t="str">
        <f>"230902711"</f>
        <v>230902711</v>
      </c>
      <c r="E2414" s="10">
        <v>58</v>
      </c>
      <c r="F2414" s="10"/>
      <c r="G2414" s="10">
        <v>77</v>
      </c>
      <c r="H2414" s="10"/>
      <c r="I2414" s="10">
        <v>69.400000000000006</v>
      </c>
    </row>
    <row r="2415" spans="1:9" s="2" customFormat="1" ht="21.75" customHeight="1">
      <c r="A2415" s="8" t="s">
        <v>14</v>
      </c>
      <c r="B2415" s="8" t="s">
        <v>16</v>
      </c>
      <c r="C2415" s="9" t="str">
        <f t="shared" si="50"/>
        <v>230116</v>
      </c>
      <c r="D2415" s="9" t="str">
        <f>"230903228"</f>
        <v>230903228</v>
      </c>
      <c r="E2415" s="10">
        <v>60.77</v>
      </c>
      <c r="F2415" s="10"/>
      <c r="G2415" s="10">
        <v>75</v>
      </c>
      <c r="H2415" s="10"/>
      <c r="I2415" s="10">
        <v>69.31</v>
      </c>
    </row>
    <row r="2416" spans="1:9" s="2" customFormat="1" ht="21.75" customHeight="1">
      <c r="A2416" s="8" t="s">
        <v>14</v>
      </c>
      <c r="B2416" s="8" t="s">
        <v>16</v>
      </c>
      <c r="C2416" s="9" t="str">
        <f t="shared" si="50"/>
        <v>230116</v>
      </c>
      <c r="D2416" s="9" t="str">
        <f>"230902601"</f>
        <v>230902601</v>
      </c>
      <c r="E2416" s="10">
        <v>65.14</v>
      </c>
      <c r="F2416" s="10"/>
      <c r="G2416" s="10">
        <v>72</v>
      </c>
      <c r="H2416" s="10"/>
      <c r="I2416" s="10">
        <v>69.260000000000005</v>
      </c>
    </row>
    <row r="2417" spans="1:9" s="3" customFormat="1" ht="21.75" customHeight="1">
      <c r="A2417" s="8" t="s">
        <v>14</v>
      </c>
      <c r="B2417" s="8" t="s">
        <v>16</v>
      </c>
      <c r="C2417" s="9" t="str">
        <f t="shared" si="50"/>
        <v>230116</v>
      </c>
      <c r="D2417" s="9" t="str">
        <f>"230903030"</f>
        <v>230903030</v>
      </c>
      <c r="E2417" s="10">
        <v>63.19</v>
      </c>
      <c r="F2417" s="10"/>
      <c r="G2417" s="10">
        <v>73</v>
      </c>
      <c r="H2417" s="10"/>
      <c r="I2417" s="10">
        <v>69.08</v>
      </c>
    </row>
    <row r="2418" spans="1:9" s="2" customFormat="1" ht="21.75" customHeight="1">
      <c r="A2418" s="8" t="s">
        <v>14</v>
      </c>
      <c r="B2418" s="8" t="s">
        <v>16</v>
      </c>
      <c r="C2418" s="9" t="str">
        <f t="shared" si="50"/>
        <v>230116</v>
      </c>
      <c r="D2418" s="9" t="str">
        <f>"230902516"</f>
        <v>230902516</v>
      </c>
      <c r="E2418" s="10">
        <v>62.95</v>
      </c>
      <c r="F2418" s="10"/>
      <c r="G2418" s="10">
        <v>73</v>
      </c>
      <c r="H2418" s="10"/>
      <c r="I2418" s="10">
        <v>68.98</v>
      </c>
    </row>
    <row r="2419" spans="1:9" s="3" customFormat="1" ht="21.75" customHeight="1">
      <c r="A2419" s="8" t="s">
        <v>14</v>
      </c>
      <c r="B2419" s="8" t="s">
        <v>16</v>
      </c>
      <c r="C2419" s="9" t="str">
        <f t="shared" si="50"/>
        <v>230116</v>
      </c>
      <c r="D2419" s="9" t="str">
        <f>"230902315"</f>
        <v>230902315</v>
      </c>
      <c r="E2419" s="10">
        <v>68.14</v>
      </c>
      <c r="F2419" s="10"/>
      <c r="G2419" s="10">
        <v>69.5</v>
      </c>
      <c r="H2419" s="10"/>
      <c r="I2419" s="10">
        <v>68.959999999999994</v>
      </c>
    </row>
    <row r="2420" spans="1:9" s="2" customFormat="1" ht="21.75" customHeight="1">
      <c r="A2420" s="8" t="s">
        <v>14</v>
      </c>
      <c r="B2420" s="8" t="s">
        <v>16</v>
      </c>
      <c r="C2420" s="9" t="str">
        <f t="shared" si="50"/>
        <v>230116</v>
      </c>
      <c r="D2420" s="9" t="str">
        <f>"230902430"</f>
        <v>230902430</v>
      </c>
      <c r="E2420" s="10">
        <v>71.819999999999993</v>
      </c>
      <c r="F2420" s="10"/>
      <c r="G2420" s="10">
        <v>67</v>
      </c>
      <c r="H2420" s="10"/>
      <c r="I2420" s="10">
        <v>68.930000000000007</v>
      </c>
    </row>
    <row r="2421" spans="1:9" s="2" customFormat="1" ht="21.75" customHeight="1">
      <c r="A2421" s="8" t="s">
        <v>14</v>
      </c>
      <c r="B2421" s="8" t="s">
        <v>16</v>
      </c>
      <c r="C2421" s="9" t="str">
        <f t="shared" si="50"/>
        <v>230116</v>
      </c>
      <c r="D2421" s="9" t="str">
        <f>"230902521"</f>
        <v>230902521</v>
      </c>
      <c r="E2421" s="10">
        <v>70.22</v>
      </c>
      <c r="F2421" s="10"/>
      <c r="G2421" s="10">
        <v>68</v>
      </c>
      <c r="H2421" s="10"/>
      <c r="I2421" s="10">
        <v>68.89</v>
      </c>
    </row>
    <row r="2422" spans="1:9" s="2" customFormat="1" ht="21.75" customHeight="1">
      <c r="A2422" s="8" t="s">
        <v>14</v>
      </c>
      <c r="B2422" s="8" t="s">
        <v>16</v>
      </c>
      <c r="C2422" s="9" t="str">
        <f t="shared" si="50"/>
        <v>230116</v>
      </c>
      <c r="D2422" s="9" t="str">
        <f>"230902429"</f>
        <v>230902429</v>
      </c>
      <c r="E2422" s="10">
        <v>68.709999999999994</v>
      </c>
      <c r="F2422" s="10"/>
      <c r="G2422" s="10">
        <v>69</v>
      </c>
      <c r="H2422" s="10"/>
      <c r="I2422" s="10">
        <v>68.88</v>
      </c>
    </row>
    <row r="2423" spans="1:9" s="2" customFormat="1" ht="21.75" customHeight="1">
      <c r="A2423" s="8" t="s">
        <v>14</v>
      </c>
      <c r="B2423" s="8" t="s">
        <v>16</v>
      </c>
      <c r="C2423" s="9" t="str">
        <f t="shared" si="50"/>
        <v>230116</v>
      </c>
      <c r="D2423" s="9" t="str">
        <f>"230902924"</f>
        <v>230902924</v>
      </c>
      <c r="E2423" s="10">
        <v>58.02</v>
      </c>
      <c r="F2423" s="10"/>
      <c r="G2423" s="10">
        <v>76</v>
      </c>
      <c r="H2423" s="10"/>
      <c r="I2423" s="10">
        <v>68.81</v>
      </c>
    </row>
    <row r="2424" spans="1:9" s="3" customFormat="1" ht="21.75" customHeight="1">
      <c r="A2424" s="8" t="s">
        <v>14</v>
      </c>
      <c r="B2424" s="8" t="s">
        <v>16</v>
      </c>
      <c r="C2424" s="9" t="str">
        <f t="shared" si="50"/>
        <v>230116</v>
      </c>
      <c r="D2424" s="9" t="str">
        <f>"230903020"</f>
        <v>230903020</v>
      </c>
      <c r="E2424" s="10">
        <v>63.88</v>
      </c>
      <c r="F2424" s="10"/>
      <c r="G2424" s="10">
        <v>72</v>
      </c>
      <c r="H2424" s="10"/>
      <c r="I2424" s="10">
        <v>68.75</v>
      </c>
    </row>
    <row r="2425" spans="1:9" s="2" customFormat="1" ht="21.75" customHeight="1">
      <c r="A2425" s="8" t="s">
        <v>14</v>
      </c>
      <c r="B2425" s="8" t="s">
        <v>16</v>
      </c>
      <c r="C2425" s="9" t="str">
        <f t="shared" si="50"/>
        <v>230116</v>
      </c>
      <c r="D2425" s="9" t="str">
        <f>"230902702"</f>
        <v>230902702</v>
      </c>
      <c r="E2425" s="10">
        <v>56.3</v>
      </c>
      <c r="F2425" s="10"/>
      <c r="G2425" s="10">
        <v>77</v>
      </c>
      <c r="H2425" s="10"/>
      <c r="I2425" s="10">
        <v>68.72</v>
      </c>
    </row>
    <row r="2426" spans="1:9" s="3" customFormat="1" ht="21.75" customHeight="1">
      <c r="A2426" s="8" t="s">
        <v>14</v>
      </c>
      <c r="B2426" s="8" t="s">
        <v>16</v>
      </c>
      <c r="C2426" s="9" t="str">
        <f t="shared" si="50"/>
        <v>230116</v>
      </c>
      <c r="D2426" s="9" t="str">
        <f>"230902808"</f>
        <v>230902808</v>
      </c>
      <c r="E2426" s="10">
        <v>66.06</v>
      </c>
      <c r="F2426" s="10"/>
      <c r="G2426" s="10">
        <v>70.5</v>
      </c>
      <c r="H2426" s="10"/>
      <c r="I2426" s="10">
        <v>68.72</v>
      </c>
    </row>
    <row r="2427" spans="1:9" s="3" customFormat="1" ht="21.75" customHeight="1">
      <c r="A2427" s="8" t="s">
        <v>14</v>
      </c>
      <c r="B2427" s="8" t="s">
        <v>16</v>
      </c>
      <c r="C2427" s="9" t="str">
        <f t="shared" si="50"/>
        <v>230116</v>
      </c>
      <c r="D2427" s="9" t="str">
        <f>"230902403"</f>
        <v>230902403</v>
      </c>
      <c r="E2427" s="10">
        <v>65.150000000000006</v>
      </c>
      <c r="F2427" s="10"/>
      <c r="G2427" s="10">
        <v>71</v>
      </c>
      <c r="H2427" s="10"/>
      <c r="I2427" s="10">
        <v>68.66</v>
      </c>
    </row>
    <row r="2428" spans="1:9" s="2" customFormat="1" ht="21.75" customHeight="1">
      <c r="A2428" s="8" t="s">
        <v>14</v>
      </c>
      <c r="B2428" s="8" t="s">
        <v>16</v>
      </c>
      <c r="C2428" s="9" t="str">
        <f t="shared" si="50"/>
        <v>230116</v>
      </c>
      <c r="D2428" s="9" t="str">
        <f>"230902605"</f>
        <v>230902605</v>
      </c>
      <c r="E2428" s="10">
        <v>56.63</v>
      </c>
      <c r="F2428" s="10"/>
      <c r="G2428" s="10">
        <v>76.5</v>
      </c>
      <c r="H2428" s="10"/>
      <c r="I2428" s="10">
        <v>68.55</v>
      </c>
    </row>
    <row r="2429" spans="1:9" s="3" customFormat="1" ht="21.75" customHeight="1">
      <c r="A2429" s="8" t="s">
        <v>14</v>
      </c>
      <c r="B2429" s="8" t="s">
        <v>16</v>
      </c>
      <c r="C2429" s="9" t="str">
        <f t="shared" si="50"/>
        <v>230116</v>
      </c>
      <c r="D2429" s="9" t="str">
        <f>"230902907"</f>
        <v>230902907</v>
      </c>
      <c r="E2429" s="10">
        <v>65.489999999999995</v>
      </c>
      <c r="F2429" s="10"/>
      <c r="G2429" s="10">
        <v>70.5</v>
      </c>
      <c r="H2429" s="10"/>
      <c r="I2429" s="10">
        <v>68.5</v>
      </c>
    </row>
    <row r="2430" spans="1:9" s="3" customFormat="1" ht="21.75" customHeight="1">
      <c r="A2430" s="8" t="s">
        <v>14</v>
      </c>
      <c r="B2430" s="8" t="s">
        <v>16</v>
      </c>
      <c r="C2430" s="9" t="str">
        <f t="shared" si="50"/>
        <v>230116</v>
      </c>
      <c r="D2430" s="9" t="str">
        <f>"230903102"</f>
        <v>230903102</v>
      </c>
      <c r="E2430" s="10">
        <v>66.08</v>
      </c>
      <c r="F2430" s="10"/>
      <c r="G2430" s="10">
        <v>70</v>
      </c>
      <c r="H2430" s="10"/>
      <c r="I2430" s="10">
        <v>68.430000000000007</v>
      </c>
    </row>
    <row r="2431" spans="1:9" s="2" customFormat="1" ht="21.75" customHeight="1">
      <c r="A2431" s="8" t="s">
        <v>14</v>
      </c>
      <c r="B2431" s="8" t="s">
        <v>16</v>
      </c>
      <c r="C2431" s="9" t="str">
        <f t="shared" si="50"/>
        <v>230116</v>
      </c>
      <c r="D2431" s="9" t="str">
        <f>"230902819"</f>
        <v>230902819</v>
      </c>
      <c r="E2431" s="10">
        <v>65.72</v>
      </c>
      <c r="F2431" s="10"/>
      <c r="G2431" s="10">
        <v>70</v>
      </c>
      <c r="H2431" s="10"/>
      <c r="I2431" s="10">
        <v>68.290000000000006</v>
      </c>
    </row>
    <row r="2432" spans="1:9" s="2" customFormat="1" ht="21.75" customHeight="1">
      <c r="A2432" s="8" t="s">
        <v>14</v>
      </c>
      <c r="B2432" s="8" t="s">
        <v>16</v>
      </c>
      <c r="C2432" s="9" t="str">
        <f t="shared" si="50"/>
        <v>230116</v>
      </c>
      <c r="D2432" s="9" t="str">
        <f>"230902604"</f>
        <v>230902604</v>
      </c>
      <c r="E2432" s="10">
        <v>67.209999999999994</v>
      </c>
      <c r="F2432" s="10"/>
      <c r="G2432" s="10">
        <v>69</v>
      </c>
      <c r="H2432" s="10"/>
      <c r="I2432" s="10">
        <v>68.28</v>
      </c>
    </row>
    <row r="2433" spans="1:9" s="2" customFormat="1" ht="21.75" customHeight="1">
      <c r="A2433" s="8" t="s">
        <v>14</v>
      </c>
      <c r="B2433" s="8" t="s">
        <v>16</v>
      </c>
      <c r="C2433" s="9" t="str">
        <f t="shared" si="50"/>
        <v>230116</v>
      </c>
      <c r="D2433" s="9" t="str">
        <f>"230902729"</f>
        <v>230902729</v>
      </c>
      <c r="E2433" s="10">
        <v>65.709999999999994</v>
      </c>
      <c r="F2433" s="10"/>
      <c r="G2433" s="10">
        <v>70</v>
      </c>
      <c r="H2433" s="10"/>
      <c r="I2433" s="10">
        <v>68.28</v>
      </c>
    </row>
    <row r="2434" spans="1:9" s="2" customFormat="1" ht="21.75" customHeight="1">
      <c r="A2434" s="8" t="s">
        <v>14</v>
      </c>
      <c r="B2434" s="8" t="s">
        <v>16</v>
      </c>
      <c r="C2434" s="9" t="str">
        <f t="shared" si="50"/>
        <v>230116</v>
      </c>
      <c r="D2434" s="9" t="str">
        <f>"230902608"</f>
        <v>230902608</v>
      </c>
      <c r="E2434" s="10">
        <v>58.7</v>
      </c>
      <c r="F2434" s="10"/>
      <c r="G2434" s="10">
        <v>74.5</v>
      </c>
      <c r="H2434" s="10"/>
      <c r="I2434" s="10">
        <v>68.180000000000007</v>
      </c>
    </row>
    <row r="2435" spans="1:9" s="2" customFormat="1" ht="21.75" customHeight="1">
      <c r="A2435" s="8" t="s">
        <v>14</v>
      </c>
      <c r="B2435" s="8" t="s">
        <v>16</v>
      </c>
      <c r="C2435" s="9" t="str">
        <f t="shared" si="50"/>
        <v>230116</v>
      </c>
      <c r="D2435" s="9" t="str">
        <f>"230902519"</f>
        <v>230902519</v>
      </c>
      <c r="E2435" s="10">
        <v>56.98</v>
      </c>
      <c r="F2435" s="10"/>
      <c r="G2435" s="10">
        <v>75.5</v>
      </c>
      <c r="H2435" s="10"/>
      <c r="I2435" s="10">
        <v>68.09</v>
      </c>
    </row>
    <row r="2436" spans="1:9" s="2" customFormat="1" ht="21.75" customHeight="1">
      <c r="A2436" s="8" t="s">
        <v>14</v>
      </c>
      <c r="B2436" s="8" t="s">
        <v>16</v>
      </c>
      <c r="C2436" s="9" t="str">
        <f t="shared" si="50"/>
        <v>230116</v>
      </c>
      <c r="D2436" s="9" t="str">
        <f>"230903109"</f>
        <v>230903109</v>
      </c>
      <c r="E2436" s="10">
        <v>65.930000000000007</v>
      </c>
      <c r="F2436" s="10"/>
      <c r="G2436" s="10">
        <v>69.5</v>
      </c>
      <c r="H2436" s="10"/>
      <c r="I2436" s="10">
        <v>68.069999999999993</v>
      </c>
    </row>
    <row r="2437" spans="1:9" s="3" customFormat="1" ht="21.75" customHeight="1">
      <c r="A2437" s="8" t="s">
        <v>14</v>
      </c>
      <c r="B2437" s="8" t="s">
        <v>16</v>
      </c>
      <c r="C2437" s="9" t="str">
        <f t="shared" si="50"/>
        <v>230116</v>
      </c>
      <c r="D2437" s="9" t="str">
        <f>"230902806"</f>
        <v>230902806</v>
      </c>
      <c r="E2437" s="10">
        <v>60.54</v>
      </c>
      <c r="F2437" s="10"/>
      <c r="G2437" s="10">
        <v>73</v>
      </c>
      <c r="H2437" s="10"/>
      <c r="I2437" s="10">
        <v>68.02</v>
      </c>
    </row>
    <row r="2438" spans="1:9" s="2" customFormat="1" ht="21.75" customHeight="1">
      <c r="A2438" s="8" t="s">
        <v>14</v>
      </c>
      <c r="B2438" s="8" t="s">
        <v>16</v>
      </c>
      <c r="C2438" s="9" t="str">
        <f t="shared" si="50"/>
        <v>230116</v>
      </c>
      <c r="D2438" s="9" t="str">
        <f>"230902813"</f>
        <v>230902813</v>
      </c>
      <c r="E2438" s="10">
        <v>65.03</v>
      </c>
      <c r="F2438" s="10"/>
      <c r="G2438" s="10">
        <v>70</v>
      </c>
      <c r="H2438" s="10"/>
      <c r="I2438" s="10">
        <v>68.010000000000005</v>
      </c>
    </row>
    <row r="2439" spans="1:9" s="2" customFormat="1" ht="21.75" customHeight="1">
      <c r="A2439" s="8" t="s">
        <v>14</v>
      </c>
      <c r="B2439" s="8" t="s">
        <v>16</v>
      </c>
      <c r="C2439" s="9" t="str">
        <f t="shared" si="50"/>
        <v>230116</v>
      </c>
      <c r="D2439" s="9" t="str">
        <f>"230902420"</f>
        <v>230902420</v>
      </c>
      <c r="E2439" s="10">
        <v>62.73</v>
      </c>
      <c r="F2439" s="10"/>
      <c r="G2439" s="10">
        <v>71.5</v>
      </c>
      <c r="H2439" s="10"/>
      <c r="I2439" s="10">
        <v>67.989999999999995</v>
      </c>
    </row>
    <row r="2440" spans="1:9" s="3" customFormat="1" ht="21.75" customHeight="1">
      <c r="A2440" s="8" t="s">
        <v>14</v>
      </c>
      <c r="B2440" s="8" t="s">
        <v>16</v>
      </c>
      <c r="C2440" s="9" t="str">
        <f t="shared" si="50"/>
        <v>230116</v>
      </c>
      <c r="D2440" s="9" t="str">
        <f>"230902811"</f>
        <v>230902811</v>
      </c>
      <c r="E2440" s="10">
        <v>68.73</v>
      </c>
      <c r="F2440" s="10"/>
      <c r="G2440" s="10">
        <v>67.5</v>
      </c>
      <c r="H2440" s="10"/>
      <c r="I2440" s="10">
        <v>67.989999999999995</v>
      </c>
    </row>
    <row r="2441" spans="1:9" s="2" customFormat="1" ht="21.75" customHeight="1">
      <c r="A2441" s="8" t="s">
        <v>14</v>
      </c>
      <c r="B2441" s="8" t="s">
        <v>16</v>
      </c>
      <c r="C2441" s="9" t="str">
        <f t="shared" si="50"/>
        <v>230116</v>
      </c>
      <c r="D2441" s="9" t="str">
        <f>"230903023"</f>
        <v>230903023</v>
      </c>
      <c r="E2441" s="10">
        <v>66.42</v>
      </c>
      <c r="F2441" s="10"/>
      <c r="G2441" s="10">
        <v>69</v>
      </c>
      <c r="H2441" s="10"/>
      <c r="I2441" s="10">
        <v>67.97</v>
      </c>
    </row>
    <row r="2442" spans="1:9" s="3" customFormat="1" ht="21.75" customHeight="1">
      <c r="A2442" s="8" t="s">
        <v>14</v>
      </c>
      <c r="B2442" s="8" t="s">
        <v>16</v>
      </c>
      <c r="C2442" s="9" t="str">
        <f t="shared" si="50"/>
        <v>230116</v>
      </c>
      <c r="D2442" s="9" t="str">
        <f>"230902820"</f>
        <v>230902820</v>
      </c>
      <c r="E2442" s="10">
        <v>61.13</v>
      </c>
      <c r="F2442" s="10"/>
      <c r="G2442" s="10">
        <v>72.5</v>
      </c>
      <c r="H2442" s="10"/>
      <c r="I2442" s="10">
        <v>67.95</v>
      </c>
    </row>
    <row r="2443" spans="1:9" s="2" customFormat="1" ht="21.75" customHeight="1">
      <c r="A2443" s="8" t="s">
        <v>14</v>
      </c>
      <c r="B2443" s="8" t="s">
        <v>16</v>
      </c>
      <c r="C2443" s="9" t="str">
        <f t="shared" si="50"/>
        <v>230116</v>
      </c>
      <c r="D2443" s="9" t="str">
        <f>"230902619"</f>
        <v>230902619</v>
      </c>
      <c r="E2443" s="10">
        <v>59.5</v>
      </c>
      <c r="F2443" s="10"/>
      <c r="G2443" s="10">
        <v>73.5</v>
      </c>
      <c r="H2443" s="10"/>
      <c r="I2443" s="10">
        <v>67.900000000000006</v>
      </c>
    </row>
    <row r="2444" spans="1:9" s="2" customFormat="1" ht="21.75" customHeight="1">
      <c r="A2444" s="8" t="s">
        <v>14</v>
      </c>
      <c r="B2444" s="8" t="s">
        <v>16</v>
      </c>
      <c r="C2444" s="9" t="str">
        <f t="shared" si="50"/>
        <v>230116</v>
      </c>
      <c r="D2444" s="9" t="str">
        <f>"230902515"</f>
        <v>230902515</v>
      </c>
      <c r="E2444" s="10">
        <v>68.36</v>
      </c>
      <c r="F2444" s="10"/>
      <c r="G2444" s="10">
        <v>67.5</v>
      </c>
      <c r="H2444" s="10"/>
      <c r="I2444" s="10">
        <v>67.84</v>
      </c>
    </row>
    <row r="2445" spans="1:9" s="2" customFormat="1" ht="21.75" customHeight="1">
      <c r="A2445" s="8" t="s">
        <v>14</v>
      </c>
      <c r="B2445" s="8" t="s">
        <v>16</v>
      </c>
      <c r="C2445" s="9" t="str">
        <f t="shared" si="50"/>
        <v>230116</v>
      </c>
      <c r="D2445" s="9" t="str">
        <f>"230902416"</f>
        <v>230902416</v>
      </c>
      <c r="E2445" s="10">
        <v>68.25</v>
      </c>
      <c r="F2445" s="10"/>
      <c r="G2445" s="10">
        <v>67.5</v>
      </c>
      <c r="H2445" s="10"/>
      <c r="I2445" s="10">
        <v>67.8</v>
      </c>
    </row>
    <row r="2446" spans="1:9" s="2" customFormat="1" ht="21.75" customHeight="1">
      <c r="A2446" s="8" t="s">
        <v>14</v>
      </c>
      <c r="B2446" s="8" t="s">
        <v>16</v>
      </c>
      <c r="C2446" s="9" t="str">
        <f t="shared" si="50"/>
        <v>230116</v>
      </c>
      <c r="D2446" s="9" t="str">
        <f>"230902427"</f>
        <v>230902427</v>
      </c>
      <c r="E2446" s="10">
        <v>63.76</v>
      </c>
      <c r="F2446" s="10"/>
      <c r="G2446" s="10">
        <v>70.5</v>
      </c>
      <c r="H2446" s="10"/>
      <c r="I2446" s="10">
        <v>67.8</v>
      </c>
    </row>
    <row r="2447" spans="1:9" s="3" customFormat="1" ht="21.75" customHeight="1">
      <c r="A2447" s="8" t="s">
        <v>14</v>
      </c>
      <c r="B2447" s="8" t="s">
        <v>16</v>
      </c>
      <c r="C2447" s="9" t="str">
        <f t="shared" si="50"/>
        <v>230116</v>
      </c>
      <c r="D2447" s="9" t="str">
        <f>"230902716"</f>
        <v>230902716</v>
      </c>
      <c r="E2447" s="10">
        <v>62.26</v>
      </c>
      <c r="F2447" s="10"/>
      <c r="G2447" s="10">
        <v>71.5</v>
      </c>
      <c r="H2447" s="10"/>
      <c r="I2447" s="10">
        <v>67.8</v>
      </c>
    </row>
    <row r="2448" spans="1:9" s="2" customFormat="1" ht="21.75" customHeight="1">
      <c r="A2448" s="8" t="s">
        <v>14</v>
      </c>
      <c r="B2448" s="8" t="s">
        <v>16</v>
      </c>
      <c r="C2448" s="9" t="str">
        <f t="shared" si="50"/>
        <v>230116</v>
      </c>
      <c r="D2448" s="9" t="str">
        <f>"230902627"</f>
        <v>230902627</v>
      </c>
      <c r="E2448" s="10">
        <v>64.22</v>
      </c>
      <c r="F2448" s="10"/>
      <c r="G2448" s="10">
        <v>70</v>
      </c>
      <c r="H2448" s="10"/>
      <c r="I2448" s="10">
        <v>67.69</v>
      </c>
    </row>
    <row r="2449" spans="1:9" s="3" customFormat="1" ht="21.75" customHeight="1">
      <c r="A2449" s="8" t="s">
        <v>14</v>
      </c>
      <c r="B2449" s="8" t="s">
        <v>16</v>
      </c>
      <c r="C2449" s="9" t="str">
        <f t="shared" si="50"/>
        <v>230116</v>
      </c>
      <c r="D2449" s="9" t="str">
        <f>"230902623"</f>
        <v>230902623</v>
      </c>
      <c r="E2449" s="10">
        <v>61.24</v>
      </c>
      <c r="F2449" s="10"/>
      <c r="G2449" s="10">
        <v>71.5</v>
      </c>
      <c r="H2449" s="10"/>
      <c r="I2449" s="10">
        <v>67.400000000000006</v>
      </c>
    </row>
    <row r="2450" spans="1:9" s="2" customFormat="1" ht="21.75" customHeight="1">
      <c r="A2450" s="8" t="s">
        <v>14</v>
      </c>
      <c r="B2450" s="8" t="s">
        <v>16</v>
      </c>
      <c r="C2450" s="9" t="str">
        <f t="shared" si="50"/>
        <v>230116</v>
      </c>
      <c r="D2450" s="9" t="str">
        <f>"230902507"</f>
        <v>230902507</v>
      </c>
      <c r="E2450" s="10">
        <v>65.73</v>
      </c>
      <c r="F2450" s="10"/>
      <c r="G2450" s="10">
        <v>68.5</v>
      </c>
      <c r="H2450" s="10"/>
      <c r="I2450" s="10">
        <v>67.39</v>
      </c>
    </row>
    <row r="2451" spans="1:9" s="3" customFormat="1" ht="21.75" customHeight="1">
      <c r="A2451" s="8" t="s">
        <v>14</v>
      </c>
      <c r="B2451" s="8" t="s">
        <v>16</v>
      </c>
      <c r="C2451" s="9" t="str">
        <f t="shared" si="50"/>
        <v>230116</v>
      </c>
      <c r="D2451" s="9" t="str">
        <f>"230903008"</f>
        <v>230903008</v>
      </c>
      <c r="E2451" s="10">
        <v>61.23</v>
      </c>
      <c r="F2451" s="10"/>
      <c r="G2451" s="10">
        <v>71.5</v>
      </c>
      <c r="H2451" s="10"/>
      <c r="I2451" s="10">
        <v>67.39</v>
      </c>
    </row>
    <row r="2452" spans="1:9" s="2" customFormat="1" ht="21.75" customHeight="1">
      <c r="A2452" s="8" t="s">
        <v>14</v>
      </c>
      <c r="B2452" s="8" t="s">
        <v>16</v>
      </c>
      <c r="C2452" s="9" t="str">
        <f t="shared" si="50"/>
        <v>230116</v>
      </c>
      <c r="D2452" s="9" t="str">
        <f>"230903225"</f>
        <v>230903225</v>
      </c>
      <c r="E2452" s="10">
        <v>65.62</v>
      </c>
      <c r="F2452" s="10"/>
      <c r="G2452" s="10">
        <v>68.5</v>
      </c>
      <c r="H2452" s="10"/>
      <c r="I2452" s="10">
        <v>67.349999999999994</v>
      </c>
    </row>
    <row r="2453" spans="1:9" s="2" customFormat="1" ht="21.75" customHeight="1">
      <c r="A2453" s="8" t="s">
        <v>14</v>
      </c>
      <c r="B2453" s="8" t="s">
        <v>16</v>
      </c>
      <c r="C2453" s="9" t="str">
        <f t="shared" si="50"/>
        <v>230116</v>
      </c>
      <c r="D2453" s="9" t="str">
        <f>"230902312"</f>
        <v>230902312</v>
      </c>
      <c r="E2453" s="10">
        <v>61.81</v>
      </c>
      <c r="F2453" s="10"/>
      <c r="G2453" s="10">
        <v>71</v>
      </c>
      <c r="H2453" s="10"/>
      <c r="I2453" s="10">
        <v>67.319999999999993</v>
      </c>
    </row>
    <row r="2454" spans="1:9" s="2" customFormat="1" ht="21.75" customHeight="1">
      <c r="A2454" s="8" t="s">
        <v>14</v>
      </c>
      <c r="B2454" s="8" t="s">
        <v>16</v>
      </c>
      <c r="C2454" s="9" t="str">
        <f t="shared" si="50"/>
        <v>230116</v>
      </c>
      <c r="D2454" s="9" t="str">
        <f>"230902905"</f>
        <v>230902905</v>
      </c>
      <c r="E2454" s="10">
        <v>56.97</v>
      </c>
      <c r="F2454" s="10"/>
      <c r="G2454" s="10">
        <v>74</v>
      </c>
      <c r="H2454" s="10"/>
      <c r="I2454" s="10">
        <v>67.19</v>
      </c>
    </row>
    <row r="2455" spans="1:9" s="2" customFormat="1" ht="21.75" customHeight="1">
      <c r="A2455" s="8" t="s">
        <v>14</v>
      </c>
      <c r="B2455" s="8" t="s">
        <v>16</v>
      </c>
      <c r="C2455" s="9" t="str">
        <f t="shared" si="50"/>
        <v>230116</v>
      </c>
      <c r="D2455" s="9" t="str">
        <f>"230902324"</f>
        <v>230902324</v>
      </c>
      <c r="E2455" s="10">
        <v>61.91</v>
      </c>
      <c r="F2455" s="10"/>
      <c r="G2455" s="10">
        <v>70.5</v>
      </c>
      <c r="H2455" s="10"/>
      <c r="I2455" s="10">
        <v>67.06</v>
      </c>
    </row>
    <row r="2456" spans="1:9" s="2" customFormat="1" ht="21.75" customHeight="1">
      <c r="A2456" s="8" t="s">
        <v>14</v>
      </c>
      <c r="B2456" s="8" t="s">
        <v>16</v>
      </c>
      <c r="C2456" s="9" t="str">
        <f t="shared" si="50"/>
        <v>230116</v>
      </c>
      <c r="D2456" s="9" t="str">
        <f>"230902411"</f>
        <v>230902411</v>
      </c>
      <c r="E2456" s="10">
        <v>56.42</v>
      </c>
      <c r="F2456" s="10"/>
      <c r="G2456" s="10">
        <v>74</v>
      </c>
      <c r="H2456" s="10"/>
      <c r="I2456" s="10">
        <v>66.97</v>
      </c>
    </row>
    <row r="2457" spans="1:9" s="3" customFormat="1" ht="21.75" customHeight="1">
      <c r="A2457" s="8" t="s">
        <v>14</v>
      </c>
      <c r="B2457" s="8" t="s">
        <v>16</v>
      </c>
      <c r="C2457" s="9" t="str">
        <f t="shared" si="50"/>
        <v>230116</v>
      </c>
      <c r="D2457" s="9" t="str">
        <f>"230902503"</f>
        <v>230902503</v>
      </c>
      <c r="E2457" s="10">
        <v>68.14</v>
      </c>
      <c r="F2457" s="10"/>
      <c r="G2457" s="10">
        <v>66</v>
      </c>
      <c r="H2457" s="10"/>
      <c r="I2457" s="10">
        <v>66.86</v>
      </c>
    </row>
    <row r="2458" spans="1:9" s="2" customFormat="1" ht="21.75" customHeight="1">
      <c r="A2458" s="8" t="s">
        <v>14</v>
      </c>
      <c r="B2458" s="8" t="s">
        <v>16</v>
      </c>
      <c r="C2458" s="9" t="str">
        <f t="shared" si="50"/>
        <v>230116</v>
      </c>
      <c r="D2458" s="9" t="str">
        <f>"230902630"</f>
        <v>230902630</v>
      </c>
      <c r="E2458" s="10">
        <v>56.63</v>
      </c>
      <c r="F2458" s="10"/>
      <c r="G2458" s="10">
        <v>73.5</v>
      </c>
      <c r="H2458" s="10"/>
      <c r="I2458" s="10">
        <v>66.75</v>
      </c>
    </row>
    <row r="2459" spans="1:9" s="2" customFormat="1" ht="21.75" customHeight="1">
      <c r="A2459" s="8" t="s">
        <v>14</v>
      </c>
      <c r="B2459" s="8" t="s">
        <v>16</v>
      </c>
      <c r="C2459" s="9" t="str">
        <f t="shared" si="50"/>
        <v>230116</v>
      </c>
      <c r="D2459" s="9" t="str">
        <f>"230902807"</f>
        <v>230902807</v>
      </c>
      <c r="E2459" s="10">
        <v>62.61</v>
      </c>
      <c r="F2459" s="10"/>
      <c r="G2459" s="10">
        <v>69.5</v>
      </c>
      <c r="H2459" s="10"/>
      <c r="I2459" s="10">
        <v>66.739999999999995</v>
      </c>
    </row>
    <row r="2460" spans="1:9" s="2" customFormat="1" ht="21.75" customHeight="1">
      <c r="A2460" s="8" t="s">
        <v>14</v>
      </c>
      <c r="B2460" s="8" t="s">
        <v>16</v>
      </c>
      <c r="C2460" s="9" t="str">
        <f t="shared" si="50"/>
        <v>230116</v>
      </c>
      <c r="D2460" s="9" t="str">
        <f>"230902316"</f>
        <v>230902316</v>
      </c>
      <c r="E2460" s="10">
        <v>59.28</v>
      </c>
      <c r="F2460" s="10"/>
      <c r="G2460" s="10">
        <v>71.5</v>
      </c>
      <c r="H2460" s="10"/>
      <c r="I2460" s="10">
        <v>66.61</v>
      </c>
    </row>
    <row r="2461" spans="1:9" s="3" customFormat="1" ht="21.75" customHeight="1">
      <c r="A2461" s="8" t="s">
        <v>14</v>
      </c>
      <c r="B2461" s="8" t="s">
        <v>16</v>
      </c>
      <c r="C2461" s="9" t="str">
        <f t="shared" si="50"/>
        <v>230116</v>
      </c>
      <c r="D2461" s="9" t="str">
        <f>"230903222"</f>
        <v>230903222</v>
      </c>
      <c r="E2461" s="10">
        <v>67.33</v>
      </c>
      <c r="F2461" s="10"/>
      <c r="G2461" s="10">
        <v>66</v>
      </c>
      <c r="H2461" s="10"/>
      <c r="I2461" s="10">
        <v>66.53</v>
      </c>
    </row>
    <row r="2462" spans="1:9" s="3" customFormat="1" ht="21.75" customHeight="1">
      <c r="A2462" s="8" t="s">
        <v>14</v>
      </c>
      <c r="B2462" s="8" t="s">
        <v>16</v>
      </c>
      <c r="C2462" s="9" t="str">
        <f t="shared" si="50"/>
        <v>230116</v>
      </c>
      <c r="D2462" s="9" t="str">
        <f>"230902418"</f>
        <v>230902418</v>
      </c>
      <c r="E2462" s="10">
        <v>55.25</v>
      </c>
      <c r="F2462" s="10"/>
      <c r="G2462" s="10">
        <v>74</v>
      </c>
      <c r="H2462" s="10"/>
      <c r="I2462" s="10">
        <v>66.5</v>
      </c>
    </row>
    <row r="2463" spans="1:9" s="2" customFormat="1" ht="21.75" customHeight="1">
      <c r="A2463" s="8" t="s">
        <v>14</v>
      </c>
      <c r="B2463" s="8" t="s">
        <v>16</v>
      </c>
      <c r="C2463" s="9" t="str">
        <f t="shared" si="50"/>
        <v>230116</v>
      </c>
      <c r="D2463" s="9" t="str">
        <f>"230902409"</f>
        <v>230902409</v>
      </c>
      <c r="E2463" s="10">
        <v>62.63</v>
      </c>
      <c r="F2463" s="10"/>
      <c r="G2463" s="10">
        <v>69</v>
      </c>
      <c r="H2463" s="10"/>
      <c r="I2463" s="10">
        <v>66.45</v>
      </c>
    </row>
    <row r="2464" spans="1:9" s="2" customFormat="1" ht="21.75" customHeight="1">
      <c r="A2464" s="8" t="s">
        <v>14</v>
      </c>
      <c r="B2464" s="8" t="s">
        <v>16</v>
      </c>
      <c r="C2464" s="9" t="str">
        <f t="shared" si="50"/>
        <v>230116</v>
      </c>
      <c r="D2464" s="9" t="str">
        <f>"230902704"</f>
        <v>230902704</v>
      </c>
      <c r="E2464" s="10">
        <v>61.8</v>
      </c>
      <c r="F2464" s="10"/>
      <c r="G2464" s="10">
        <v>69.5</v>
      </c>
      <c r="H2464" s="10"/>
      <c r="I2464" s="10">
        <v>66.42</v>
      </c>
    </row>
    <row r="2465" spans="1:9" s="2" customFormat="1" ht="21.75" customHeight="1">
      <c r="A2465" s="8" t="s">
        <v>14</v>
      </c>
      <c r="B2465" s="8" t="s">
        <v>16</v>
      </c>
      <c r="C2465" s="9" t="str">
        <f t="shared" si="50"/>
        <v>230116</v>
      </c>
      <c r="D2465" s="9" t="str">
        <f>"230902329"</f>
        <v>230902329</v>
      </c>
      <c r="E2465" s="10">
        <v>66.650000000000006</v>
      </c>
      <c r="F2465" s="10"/>
      <c r="G2465" s="10">
        <v>66</v>
      </c>
      <c r="H2465" s="10"/>
      <c r="I2465" s="10">
        <v>66.260000000000005</v>
      </c>
    </row>
    <row r="2466" spans="1:9" s="3" customFormat="1" ht="21.75" customHeight="1">
      <c r="A2466" s="8" t="s">
        <v>14</v>
      </c>
      <c r="B2466" s="8" t="s">
        <v>16</v>
      </c>
      <c r="C2466" s="9" t="str">
        <f t="shared" si="50"/>
        <v>230116</v>
      </c>
      <c r="D2466" s="9" t="str">
        <f>"230902422"</f>
        <v>230902422</v>
      </c>
      <c r="E2466" s="10">
        <v>65.150000000000006</v>
      </c>
      <c r="F2466" s="10"/>
      <c r="G2466" s="10">
        <v>67</v>
      </c>
      <c r="H2466" s="10"/>
      <c r="I2466" s="10">
        <v>66.260000000000005</v>
      </c>
    </row>
    <row r="2467" spans="1:9" s="3" customFormat="1" ht="21.75" customHeight="1">
      <c r="A2467" s="8" t="s">
        <v>14</v>
      </c>
      <c r="B2467" s="8" t="s">
        <v>16</v>
      </c>
      <c r="C2467" s="9" t="str">
        <f t="shared" si="50"/>
        <v>230116</v>
      </c>
      <c r="D2467" s="9" t="str">
        <f>"230902310"</f>
        <v>230902310</v>
      </c>
      <c r="E2467" s="10">
        <v>58.72</v>
      </c>
      <c r="F2467" s="10"/>
      <c r="G2467" s="10">
        <v>71</v>
      </c>
      <c r="H2467" s="10"/>
      <c r="I2467" s="10">
        <v>66.09</v>
      </c>
    </row>
    <row r="2468" spans="1:9" s="2" customFormat="1" ht="21.75" customHeight="1">
      <c r="A2468" s="8" t="s">
        <v>14</v>
      </c>
      <c r="B2468" s="8" t="s">
        <v>16</v>
      </c>
      <c r="C2468" s="9" t="str">
        <f t="shared" si="50"/>
        <v>230116</v>
      </c>
      <c r="D2468" s="9" t="str">
        <f>"230902230"</f>
        <v>230902230</v>
      </c>
      <c r="E2468" s="10">
        <v>56.44</v>
      </c>
      <c r="F2468" s="10"/>
      <c r="G2468" s="10">
        <v>72.5</v>
      </c>
      <c r="H2468" s="10"/>
      <c r="I2468" s="10">
        <v>66.08</v>
      </c>
    </row>
    <row r="2469" spans="1:9" s="3" customFormat="1" ht="21.75" customHeight="1">
      <c r="A2469" s="8" t="s">
        <v>14</v>
      </c>
      <c r="B2469" s="8" t="s">
        <v>16</v>
      </c>
      <c r="C2469" s="9" t="str">
        <f t="shared" si="50"/>
        <v>230116</v>
      </c>
      <c r="D2469" s="9" t="str">
        <f>"230902530"</f>
        <v>230902530</v>
      </c>
      <c r="E2469" s="10">
        <v>57.1</v>
      </c>
      <c r="F2469" s="10"/>
      <c r="G2469" s="10">
        <v>72</v>
      </c>
      <c r="H2469" s="10"/>
      <c r="I2469" s="10">
        <v>66.040000000000006</v>
      </c>
    </row>
    <row r="2470" spans="1:9" s="2" customFormat="1" ht="21.75" customHeight="1">
      <c r="A2470" s="8" t="s">
        <v>14</v>
      </c>
      <c r="B2470" s="8" t="s">
        <v>16</v>
      </c>
      <c r="C2470" s="9" t="str">
        <f t="shared" si="50"/>
        <v>230116</v>
      </c>
      <c r="D2470" s="9" t="str">
        <f>"230903105"</f>
        <v>230903105</v>
      </c>
      <c r="E2470" s="10">
        <v>66.75</v>
      </c>
      <c r="F2470" s="10"/>
      <c r="G2470" s="10">
        <v>65.5</v>
      </c>
      <c r="H2470" s="10"/>
      <c r="I2470" s="10">
        <v>66</v>
      </c>
    </row>
    <row r="2471" spans="1:9" s="2" customFormat="1" ht="21.75" customHeight="1">
      <c r="A2471" s="8" t="s">
        <v>14</v>
      </c>
      <c r="B2471" s="8" t="s">
        <v>16</v>
      </c>
      <c r="C2471" s="9" t="str">
        <f t="shared" si="50"/>
        <v>230116</v>
      </c>
      <c r="D2471" s="9" t="str">
        <f>"230902228"</f>
        <v>230902228</v>
      </c>
      <c r="E2471" s="10">
        <v>48.27</v>
      </c>
      <c r="F2471" s="10"/>
      <c r="G2471" s="10">
        <v>77.5</v>
      </c>
      <c r="H2471" s="10"/>
      <c r="I2471" s="10">
        <v>65.81</v>
      </c>
    </row>
    <row r="2472" spans="1:9" s="3" customFormat="1" ht="21.75" customHeight="1">
      <c r="A2472" s="8" t="s">
        <v>14</v>
      </c>
      <c r="B2472" s="8" t="s">
        <v>16</v>
      </c>
      <c r="C2472" s="9" t="str">
        <f t="shared" si="50"/>
        <v>230116</v>
      </c>
      <c r="D2472" s="9" t="str">
        <f>"230902417"</f>
        <v>230902417</v>
      </c>
      <c r="E2472" s="10">
        <v>54.28</v>
      </c>
      <c r="F2472" s="10"/>
      <c r="G2472" s="10">
        <v>73.5</v>
      </c>
      <c r="H2472" s="10"/>
      <c r="I2472" s="10">
        <v>65.81</v>
      </c>
    </row>
    <row r="2473" spans="1:9" s="3" customFormat="1" ht="21.75" customHeight="1">
      <c r="A2473" s="8" t="s">
        <v>14</v>
      </c>
      <c r="B2473" s="8" t="s">
        <v>16</v>
      </c>
      <c r="C2473" s="9" t="str">
        <f t="shared" ref="C2473:C2536" si="51">"230116"</f>
        <v>230116</v>
      </c>
      <c r="D2473" s="9" t="str">
        <f>"230902421"</f>
        <v>230902421</v>
      </c>
      <c r="E2473" s="10">
        <v>62.17</v>
      </c>
      <c r="F2473" s="10"/>
      <c r="G2473" s="10">
        <v>68</v>
      </c>
      <c r="H2473" s="10"/>
      <c r="I2473" s="10">
        <v>65.67</v>
      </c>
    </row>
    <row r="2474" spans="1:9" s="2" customFormat="1" ht="21.75" customHeight="1">
      <c r="A2474" s="8" t="s">
        <v>14</v>
      </c>
      <c r="B2474" s="8" t="s">
        <v>16</v>
      </c>
      <c r="C2474" s="9" t="str">
        <f t="shared" si="51"/>
        <v>230116</v>
      </c>
      <c r="D2474" s="9" t="str">
        <f>"230902525"</f>
        <v>230902525</v>
      </c>
      <c r="E2474" s="10">
        <v>61.82</v>
      </c>
      <c r="F2474" s="10"/>
      <c r="G2474" s="10">
        <v>68</v>
      </c>
      <c r="H2474" s="10"/>
      <c r="I2474" s="10">
        <v>65.53</v>
      </c>
    </row>
    <row r="2475" spans="1:9" s="2" customFormat="1" ht="21.75" customHeight="1">
      <c r="A2475" s="8" t="s">
        <v>14</v>
      </c>
      <c r="B2475" s="8" t="s">
        <v>16</v>
      </c>
      <c r="C2475" s="9" t="str">
        <f t="shared" si="51"/>
        <v>230116</v>
      </c>
      <c r="D2475" s="9" t="str">
        <f>"230902919"</f>
        <v>230902919</v>
      </c>
      <c r="E2475" s="10">
        <v>59.05</v>
      </c>
      <c r="F2475" s="10"/>
      <c r="G2475" s="10">
        <v>69.5</v>
      </c>
      <c r="H2475" s="10"/>
      <c r="I2475" s="10">
        <v>65.319999999999993</v>
      </c>
    </row>
    <row r="2476" spans="1:9" s="2" customFormat="1" ht="21.75" customHeight="1">
      <c r="A2476" s="8" t="s">
        <v>14</v>
      </c>
      <c r="B2476" s="8" t="s">
        <v>16</v>
      </c>
      <c r="C2476" s="9" t="str">
        <f t="shared" si="51"/>
        <v>230116</v>
      </c>
      <c r="D2476" s="9" t="str">
        <f>"230902504"</f>
        <v>230902504</v>
      </c>
      <c r="E2476" s="10">
        <v>66.290000000000006</v>
      </c>
      <c r="F2476" s="10"/>
      <c r="G2476" s="10">
        <v>64.5</v>
      </c>
      <c r="H2476" s="10"/>
      <c r="I2476" s="10">
        <v>65.22</v>
      </c>
    </row>
    <row r="2477" spans="1:9" s="3" customFormat="1" ht="21.75" customHeight="1">
      <c r="A2477" s="8" t="s">
        <v>14</v>
      </c>
      <c r="B2477" s="8" t="s">
        <v>16</v>
      </c>
      <c r="C2477" s="9" t="str">
        <f t="shared" si="51"/>
        <v>230116</v>
      </c>
      <c r="D2477" s="9" t="str">
        <f>"230903226"</f>
        <v>230903226</v>
      </c>
      <c r="E2477" s="10">
        <v>52.4</v>
      </c>
      <c r="F2477" s="10"/>
      <c r="G2477" s="10">
        <v>73.5</v>
      </c>
      <c r="H2477" s="10"/>
      <c r="I2477" s="10">
        <v>65.06</v>
      </c>
    </row>
    <row r="2478" spans="1:9" s="3" customFormat="1" ht="21.75" customHeight="1">
      <c r="A2478" s="8" t="s">
        <v>14</v>
      </c>
      <c r="B2478" s="8" t="s">
        <v>16</v>
      </c>
      <c r="C2478" s="9" t="str">
        <f t="shared" si="51"/>
        <v>230116</v>
      </c>
      <c r="D2478" s="9" t="str">
        <f>"230902722"</f>
        <v>230902722</v>
      </c>
      <c r="E2478" s="10">
        <v>52.05</v>
      </c>
      <c r="F2478" s="10"/>
      <c r="G2478" s="10">
        <v>73.5</v>
      </c>
      <c r="H2478" s="10"/>
      <c r="I2478" s="10">
        <v>64.92</v>
      </c>
    </row>
    <row r="2479" spans="1:9" s="2" customFormat="1" ht="21.75" customHeight="1">
      <c r="A2479" s="8" t="s">
        <v>14</v>
      </c>
      <c r="B2479" s="8" t="s">
        <v>16</v>
      </c>
      <c r="C2479" s="9" t="str">
        <f t="shared" si="51"/>
        <v>230116</v>
      </c>
      <c r="D2479" s="9" t="str">
        <f>"230903221"</f>
        <v>230903221</v>
      </c>
      <c r="E2479" s="10">
        <v>61.81</v>
      </c>
      <c r="F2479" s="10"/>
      <c r="G2479" s="10">
        <v>67</v>
      </c>
      <c r="H2479" s="10"/>
      <c r="I2479" s="10">
        <v>64.92</v>
      </c>
    </row>
    <row r="2480" spans="1:9" s="2" customFormat="1" ht="21.75" customHeight="1">
      <c r="A2480" s="8" t="s">
        <v>14</v>
      </c>
      <c r="B2480" s="8" t="s">
        <v>16</v>
      </c>
      <c r="C2480" s="9" t="str">
        <f t="shared" si="51"/>
        <v>230116</v>
      </c>
      <c r="D2480" s="9" t="str">
        <f>"230902510"</f>
        <v>230902510</v>
      </c>
      <c r="E2480" s="10">
        <v>66.989999999999995</v>
      </c>
      <c r="F2480" s="10"/>
      <c r="G2480" s="10">
        <v>63.5</v>
      </c>
      <c r="H2480" s="10"/>
      <c r="I2480" s="10">
        <v>64.900000000000006</v>
      </c>
    </row>
    <row r="2481" spans="1:9" s="3" customFormat="1" ht="21.75" customHeight="1">
      <c r="A2481" s="8" t="s">
        <v>14</v>
      </c>
      <c r="B2481" s="8" t="s">
        <v>16</v>
      </c>
      <c r="C2481" s="9" t="str">
        <f t="shared" si="51"/>
        <v>230116</v>
      </c>
      <c r="D2481" s="9" t="str">
        <f>"230903218"</f>
        <v>230903218</v>
      </c>
      <c r="E2481" s="10">
        <v>61.11</v>
      </c>
      <c r="F2481" s="10"/>
      <c r="G2481" s="10">
        <v>67</v>
      </c>
      <c r="H2481" s="10"/>
      <c r="I2481" s="10">
        <v>64.64</v>
      </c>
    </row>
    <row r="2482" spans="1:9" s="2" customFormat="1" ht="21.75" customHeight="1">
      <c r="A2482" s="8" t="s">
        <v>14</v>
      </c>
      <c r="B2482" s="8" t="s">
        <v>16</v>
      </c>
      <c r="C2482" s="9" t="str">
        <f t="shared" si="51"/>
        <v>230116</v>
      </c>
      <c r="D2482" s="9" t="str">
        <f>"230902602"</f>
        <v>230902602</v>
      </c>
      <c r="E2482" s="10">
        <v>64.58</v>
      </c>
      <c r="F2482" s="10"/>
      <c r="G2482" s="10">
        <v>64.5</v>
      </c>
      <c r="H2482" s="10"/>
      <c r="I2482" s="10">
        <v>64.53</v>
      </c>
    </row>
    <row r="2483" spans="1:9" s="2" customFormat="1" ht="21.75" customHeight="1">
      <c r="A2483" s="8" t="s">
        <v>14</v>
      </c>
      <c r="B2483" s="8" t="s">
        <v>16</v>
      </c>
      <c r="C2483" s="9" t="str">
        <f t="shared" si="51"/>
        <v>230116</v>
      </c>
      <c r="D2483" s="9" t="str">
        <f>"230902818"</f>
        <v>230902818</v>
      </c>
      <c r="E2483" s="10">
        <v>56.86</v>
      </c>
      <c r="F2483" s="10"/>
      <c r="G2483" s="10">
        <v>69.5</v>
      </c>
      <c r="H2483" s="10"/>
      <c r="I2483" s="10">
        <v>64.44</v>
      </c>
    </row>
    <row r="2484" spans="1:9" s="3" customFormat="1" ht="21.75" customHeight="1">
      <c r="A2484" s="8" t="s">
        <v>14</v>
      </c>
      <c r="B2484" s="8" t="s">
        <v>16</v>
      </c>
      <c r="C2484" s="9" t="str">
        <f t="shared" si="51"/>
        <v>230116</v>
      </c>
      <c r="D2484" s="9" t="str">
        <f>"230903010"</f>
        <v>230903010</v>
      </c>
      <c r="E2484" s="10">
        <v>54.47</v>
      </c>
      <c r="F2484" s="10"/>
      <c r="G2484" s="10">
        <v>71</v>
      </c>
      <c r="H2484" s="10"/>
      <c r="I2484" s="10">
        <v>64.39</v>
      </c>
    </row>
    <row r="2485" spans="1:9" s="2" customFormat="1" ht="21.75" customHeight="1">
      <c r="A2485" s="8" t="s">
        <v>14</v>
      </c>
      <c r="B2485" s="8" t="s">
        <v>16</v>
      </c>
      <c r="C2485" s="9" t="str">
        <f t="shared" si="51"/>
        <v>230116</v>
      </c>
      <c r="D2485" s="9" t="str">
        <f>"230902524"</f>
        <v>230902524</v>
      </c>
      <c r="E2485" s="10">
        <v>59.97</v>
      </c>
      <c r="F2485" s="10"/>
      <c r="G2485" s="10">
        <v>67</v>
      </c>
      <c r="H2485" s="10"/>
      <c r="I2485" s="10">
        <v>64.19</v>
      </c>
    </row>
    <row r="2486" spans="1:9" s="2" customFormat="1" ht="21.75" customHeight="1">
      <c r="A2486" s="8" t="s">
        <v>14</v>
      </c>
      <c r="B2486" s="8" t="s">
        <v>16</v>
      </c>
      <c r="C2486" s="9" t="str">
        <f t="shared" si="51"/>
        <v>230116</v>
      </c>
      <c r="D2486" s="9" t="str">
        <f>"230902910"</f>
        <v>230902910</v>
      </c>
      <c r="E2486" s="10">
        <v>50.33</v>
      </c>
      <c r="F2486" s="10"/>
      <c r="G2486" s="10">
        <v>72.5</v>
      </c>
      <c r="H2486" s="10"/>
      <c r="I2486" s="10">
        <v>63.63</v>
      </c>
    </row>
    <row r="2487" spans="1:9" s="3" customFormat="1" ht="21.75" customHeight="1">
      <c r="A2487" s="8" t="s">
        <v>14</v>
      </c>
      <c r="B2487" s="8" t="s">
        <v>16</v>
      </c>
      <c r="C2487" s="9" t="str">
        <f t="shared" si="51"/>
        <v>230116</v>
      </c>
      <c r="D2487" s="9" t="str">
        <f>"230902701"</f>
        <v>230902701</v>
      </c>
      <c r="E2487" s="10">
        <v>62.03</v>
      </c>
      <c r="F2487" s="10"/>
      <c r="G2487" s="10">
        <v>64.5</v>
      </c>
      <c r="H2487" s="10"/>
      <c r="I2487" s="10">
        <v>63.51</v>
      </c>
    </row>
    <row r="2488" spans="1:9" s="2" customFormat="1" ht="21.75" customHeight="1">
      <c r="A2488" s="8" t="s">
        <v>14</v>
      </c>
      <c r="B2488" s="8" t="s">
        <v>16</v>
      </c>
      <c r="C2488" s="9" t="str">
        <f t="shared" si="51"/>
        <v>230116</v>
      </c>
      <c r="D2488" s="9" t="str">
        <f>"230902514"</f>
        <v>230902514</v>
      </c>
      <c r="E2488" s="10">
        <v>59.52</v>
      </c>
      <c r="F2488" s="10"/>
      <c r="G2488" s="10">
        <v>66</v>
      </c>
      <c r="H2488" s="10"/>
      <c r="I2488" s="10">
        <v>63.41</v>
      </c>
    </row>
    <row r="2489" spans="1:9" s="2" customFormat="1" ht="21.75" customHeight="1">
      <c r="A2489" s="8" t="s">
        <v>14</v>
      </c>
      <c r="B2489" s="8" t="s">
        <v>16</v>
      </c>
      <c r="C2489" s="9" t="str">
        <f t="shared" si="51"/>
        <v>230116</v>
      </c>
      <c r="D2489" s="9" t="str">
        <f>"230902908"</f>
        <v>230902908</v>
      </c>
      <c r="E2489" s="10">
        <v>59.04</v>
      </c>
      <c r="F2489" s="10"/>
      <c r="G2489" s="10">
        <v>66</v>
      </c>
      <c r="H2489" s="10"/>
      <c r="I2489" s="10">
        <v>63.22</v>
      </c>
    </row>
    <row r="2490" spans="1:9" s="2" customFormat="1" ht="21.75" customHeight="1">
      <c r="A2490" s="8" t="s">
        <v>14</v>
      </c>
      <c r="B2490" s="8" t="s">
        <v>16</v>
      </c>
      <c r="C2490" s="9" t="str">
        <f t="shared" si="51"/>
        <v>230116</v>
      </c>
      <c r="D2490" s="9" t="str">
        <f>"230903201"</f>
        <v>230903201</v>
      </c>
      <c r="E2490" s="10">
        <v>45.72</v>
      </c>
      <c r="F2490" s="10"/>
      <c r="G2490" s="10">
        <v>73.5</v>
      </c>
      <c r="H2490" s="10"/>
      <c r="I2490" s="10">
        <v>62.39</v>
      </c>
    </row>
    <row r="2491" spans="1:9" s="3" customFormat="1" ht="21.75" customHeight="1">
      <c r="A2491" s="8" t="s">
        <v>14</v>
      </c>
      <c r="B2491" s="8" t="s">
        <v>16</v>
      </c>
      <c r="C2491" s="9" t="str">
        <f t="shared" si="51"/>
        <v>230116</v>
      </c>
      <c r="D2491" s="9" t="str">
        <f>"230903017"</f>
        <v>230903017</v>
      </c>
      <c r="E2491" s="10">
        <v>44.91</v>
      </c>
      <c r="F2491" s="10"/>
      <c r="G2491" s="10">
        <v>74</v>
      </c>
      <c r="H2491" s="10"/>
      <c r="I2491" s="10">
        <v>62.36</v>
      </c>
    </row>
    <row r="2492" spans="1:9" s="2" customFormat="1" ht="21.75" customHeight="1">
      <c r="A2492" s="8" t="s">
        <v>14</v>
      </c>
      <c r="B2492" s="8" t="s">
        <v>16</v>
      </c>
      <c r="C2492" s="9" t="str">
        <f t="shared" si="51"/>
        <v>230116</v>
      </c>
      <c r="D2492" s="9" t="str">
        <f>"230902730"</f>
        <v>230902730</v>
      </c>
      <c r="E2492" s="10">
        <v>57.21</v>
      </c>
      <c r="F2492" s="10"/>
      <c r="G2492" s="10">
        <v>65.5</v>
      </c>
      <c r="H2492" s="10"/>
      <c r="I2492" s="10">
        <v>62.18</v>
      </c>
    </row>
    <row r="2493" spans="1:9" s="2" customFormat="1" ht="21.75" customHeight="1">
      <c r="A2493" s="8" t="s">
        <v>14</v>
      </c>
      <c r="B2493" s="8" t="s">
        <v>16</v>
      </c>
      <c r="C2493" s="9" t="str">
        <f t="shared" si="51"/>
        <v>230116</v>
      </c>
      <c r="D2493" s="9" t="str">
        <f>"230902927"</f>
        <v>230902927</v>
      </c>
      <c r="E2493" s="10">
        <v>55.4</v>
      </c>
      <c r="F2493" s="10"/>
      <c r="G2493" s="10">
        <v>66.5</v>
      </c>
      <c r="H2493" s="10"/>
      <c r="I2493" s="10">
        <v>62.06</v>
      </c>
    </row>
    <row r="2494" spans="1:9" s="3" customFormat="1" ht="21.75" customHeight="1">
      <c r="A2494" s="8" t="s">
        <v>14</v>
      </c>
      <c r="B2494" s="8" t="s">
        <v>16</v>
      </c>
      <c r="C2494" s="9" t="str">
        <f t="shared" si="51"/>
        <v>230116</v>
      </c>
      <c r="D2494" s="9" t="str">
        <f>"230902903"</f>
        <v>230902903</v>
      </c>
      <c r="E2494" s="10">
        <v>62.52</v>
      </c>
      <c r="F2494" s="10"/>
      <c r="G2494" s="10">
        <v>61.5</v>
      </c>
      <c r="H2494" s="10"/>
      <c r="I2494" s="10">
        <v>61.91</v>
      </c>
    </row>
    <row r="2495" spans="1:9" s="2" customFormat="1" ht="21.75" customHeight="1">
      <c r="A2495" s="8" t="s">
        <v>14</v>
      </c>
      <c r="B2495" s="8" t="s">
        <v>16</v>
      </c>
      <c r="C2495" s="9" t="str">
        <f t="shared" si="51"/>
        <v>230116</v>
      </c>
      <c r="D2495" s="9" t="str">
        <f>"230902509"</f>
        <v>230902509</v>
      </c>
      <c r="E2495" s="10">
        <v>60.86</v>
      </c>
      <c r="F2495" s="10"/>
      <c r="G2495" s="10">
        <v>62</v>
      </c>
      <c r="H2495" s="10"/>
      <c r="I2495" s="10">
        <v>61.54</v>
      </c>
    </row>
    <row r="2496" spans="1:9" s="2" customFormat="1" ht="21.75" customHeight="1">
      <c r="A2496" s="8" t="s">
        <v>14</v>
      </c>
      <c r="B2496" s="8" t="s">
        <v>16</v>
      </c>
      <c r="C2496" s="9" t="str">
        <f t="shared" si="51"/>
        <v>230116</v>
      </c>
      <c r="D2496" s="9" t="str">
        <f>"230902311"</f>
        <v>230902311</v>
      </c>
      <c r="E2496" s="10">
        <v>59.06</v>
      </c>
      <c r="F2496" s="10"/>
      <c r="G2496" s="10">
        <v>62.5</v>
      </c>
      <c r="H2496" s="10"/>
      <c r="I2496" s="10">
        <v>61.12</v>
      </c>
    </row>
    <row r="2497" spans="1:9" s="2" customFormat="1" ht="21.75" customHeight="1">
      <c r="A2497" s="8" t="s">
        <v>14</v>
      </c>
      <c r="B2497" s="8" t="s">
        <v>16</v>
      </c>
      <c r="C2497" s="9" t="str">
        <f t="shared" si="51"/>
        <v>230116</v>
      </c>
      <c r="D2497" s="9" t="str">
        <f>"230902527"</f>
        <v>230902527</v>
      </c>
      <c r="E2497" s="10">
        <v>56.29</v>
      </c>
      <c r="F2497" s="10"/>
      <c r="G2497" s="10">
        <v>64</v>
      </c>
      <c r="H2497" s="10"/>
      <c r="I2497" s="10">
        <v>60.92</v>
      </c>
    </row>
    <row r="2498" spans="1:9" s="2" customFormat="1" ht="21.75" customHeight="1">
      <c r="A2498" s="8" t="s">
        <v>14</v>
      </c>
      <c r="B2498" s="8" t="s">
        <v>16</v>
      </c>
      <c r="C2498" s="9" t="str">
        <f t="shared" si="51"/>
        <v>230116</v>
      </c>
      <c r="D2498" s="9" t="str">
        <f>"230902506"</f>
        <v>230902506</v>
      </c>
      <c r="E2498" s="10">
        <v>52.38</v>
      </c>
      <c r="F2498" s="10"/>
      <c r="G2498" s="10">
        <v>66</v>
      </c>
      <c r="H2498" s="10"/>
      <c r="I2498" s="10">
        <v>60.55</v>
      </c>
    </row>
    <row r="2499" spans="1:9" s="3" customFormat="1" ht="21.75" customHeight="1">
      <c r="A2499" s="8" t="s">
        <v>14</v>
      </c>
      <c r="B2499" s="8" t="s">
        <v>16</v>
      </c>
      <c r="C2499" s="9" t="str">
        <f t="shared" si="51"/>
        <v>230116</v>
      </c>
      <c r="D2499" s="9" t="str">
        <f>"230903103"</f>
        <v>230903103</v>
      </c>
      <c r="E2499" s="10">
        <v>55.02</v>
      </c>
      <c r="F2499" s="10"/>
      <c r="G2499" s="10">
        <v>64</v>
      </c>
      <c r="H2499" s="10"/>
      <c r="I2499" s="10">
        <v>60.41</v>
      </c>
    </row>
    <row r="2500" spans="1:9" s="2" customFormat="1" ht="21.75" customHeight="1">
      <c r="A2500" s="8" t="s">
        <v>14</v>
      </c>
      <c r="B2500" s="8" t="s">
        <v>16</v>
      </c>
      <c r="C2500" s="9" t="str">
        <f t="shared" si="51"/>
        <v>230116</v>
      </c>
      <c r="D2500" s="9" t="str">
        <f>"230903101"</f>
        <v>230903101</v>
      </c>
      <c r="E2500" s="10">
        <v>54.1</v>
      </c>
      <c r="F2500" s="10"/>
      <c r="G2500" s="10">
        <v>64.5</v>
      </c>
      <c r="H2500" s="10"/>
      <c r="I2500" s="10">
        <v>60.34</v>
      </c>
    </row>
    <row r="2501" spans="1:9" s="3" customFormat="1" ht="21.75" customHeight="1">
      <c r="A2501" s="8" t="s">
        <v>14</v>
      </c>
      <c r="B2501" s="8" t="s">
        <v>16</v>
      </c>
      <c r="C2501" s="9" t="str">
        <f t="shared" si="51"/>
        <v>230116</v>
      </c>
      <c r="D2501" s="9" t="str">
        <f>"230902325"</f>
        <v>230902325</v>
      </c>
      <c r="E2501" s="10">
        <v>65.150000000000006</v>
      </c>
      <c r="F2501" s="10"/>
      <c r="G2501" s="10">
        <v>57</v>
      </c>
      <c r="H2501" s="10"/>
      <c r="I2501" s="10">
        <v>60.26</v>
      </c>
    </row>
    <row r="2502" spans="1:9" s="2" customFormat="1" ht="21.75" customHeight="1">
      <c r="A2502" s="8" t="s">
        <v>14</v>
      </c>
      <c r="B2502" s="8" t="s">
        <v>16</v>
      </c>
      <c r="C2502" s="9" t="str">
        <f t="shared" si="51"/>
        <v>230116</v>
      </c>
      <c r="D2502" s="9" t="str">
        <f>"230902720"</f>
        <v>230902720</v>
      </c>
      <c r="E2502" s="10">
        <v>48.6</v>
      </c>
      <c r="F2502" s="10"/>
      <c r="G2502" s="10">
        <v>67.5</v>
      </c>
      <c r="H2502" s="10"/>
      <c r="I2502" s="10">
        <v>59.94</v>
      </c>
    </row>
    <row r="2503" spans="1:9" s="3" customFormat="1" ht="21.75" customHeight="1">
      <c r="A2503" s="8" t="s">
        <v>14</v>
      </c>
      <c r="B2503" s="8" t="s">
        <v>16</v>
      </c>
      <c r="C2503" s="9" t="str">
        <f t="shared" si="51"/>
        <v>230116</v>
      </c>
      <c r="D2503" s="9" t="str">
        <f>"230902610"</f>
        <v>230902610</v>
      </c>
      <c r="E2503" s="10">
        <v>46.28</v>
      </c>
      <c r="F2503" s="10"/>
      <c r="G2503" s="10">
        <v>69</v>
      </c>
      <c r="H2503" s="10"/>
      <c r="I2503" s="10">
        <v>59.91</v>
      </c>
    </row>
    <row r="2504" spans="1:9" s="3" customFormat="1" ht="21.75" customHeight="1">
      <c r="A2504" s="8" t="s">
        <v>14</v>
      </c>
      <c r="B2504" s="8" t="s">
        <v>16</v>
      </c>
      <c r="C2504" s="9" t="str">
        <f t="shared" si="51"/>
        <v>230116</v>
      </c>
      <c r="D2504" s="9" t="str">
        <f>"230902917"</f>
        <v>230902917</v>
      </c>
      <c r="E2504" s="10">
        <v>35.880000000000003</v>
      </c>
      <c r="F2504" s="10"/>
      <c r="G2504" s="10">
        <v>75.5</v>
      </c>
      <c r="H2504" s="10"/>
      <c r="I2504" s="10">
        <v>59.65</v>
      </c>
    </row>
    <row r="2505" spans="1:9" s="3" customFormat="1" ht="21.75" customHeight="1">
      <c r="A2505" s="8" t="s">
        <v>14</v>
      </c>
      <c r="B2505" s="8" t="s">
        <v>16</v>
      </c>
      <c r="C2505" s="9" t="str">
        <f t="shared" si="51"/>
        <v>230116</v>
      </c>
      <c r="D2505" s="9" t="str">
        <f>"230903203"</f>
        <v>230903203</v>
      </c>
      <c r="E2505" s="10">
        <v>63.3</v>
      </c>
      <c r="F2505" s="10"/>
      <c r="G2505" s="10">
        <v>57</v>
      </c>
      <c r="H2505" s="10"/>
      <c r="I2505" s="10">
        <v>59.52</v>
      </c>
    </row>
    <row r="2506" spans="1:9" s="2" customFormat="1" ht="21.75" customHeight="1">
      <c r="A2506" s="8" t="s">
        <v>14</v>
      </c>
      <c r="B2506" s="8" t="s">
        <v>16</v>
      </c>
      <c r="C2506" s="9" t="str">
        <f t="shared" si="51"/>
        <v>230116</v>
      </c>
      <c r="D2506" s="9" t="str">
        <f>"230902410"</f>
        <v>230902410</v>
      </c>
      <c r="E2506" s="10">
        <v>52.38</v>
      </c>
      <c r="F2506" s="10"/>
      <c r="G2506" s="10">
        <v>63.5</v>
      </c>
      <c r="H2506" s="10"/>
      <c r="I2506" s="10">
        <v>59.05</v>
      </c>
    </row>
    <row r="2507" spans="1:9" s="2" customFormat="1" ht="21.75" customHeight="1">
      <c r="A2507" s="8" t="s">
        <v>14</v>
      </c>
      <c r="B2507" s="8" t="s">
        <v>16</v>
      </c>
      <c r="C2507" s="9" t="str">
        <f t="shared" si="51"/>
        <v>230116</v>
      </c>
      <c r="D2507" s="9" t="str">
        <f>"230902830"</f>
        <v>230902830</v>
      </c>
      <c r="E2507" s="10">
        <v>49.62</v>
      </c>
      <c r="F2507" s="10"/>
      <c r="G2507" s="10">
        <v>63</v>
      </c>
      <c r="H2507" s="10"/>
      <c r="I2507" s="10">
        <v>57.65</v>
      </c>
    </row>
    <row r="2508" spans="1:9" s="3" customFormat="1" ht="21.75" customHeight="1">
      <c r="A2508" s="8" t="s">
        <v>14</v>
      </c>
      <c r="B2508" s="8" t="s">
        <v>16</v>
      </c>
      <c r="C2508" s="9" t="str">
        <f t="shared" si="51"/>
        <v>230116</v>
      </c>
      <c r="D2508" s="9" t="str">
        <f>"230902314"</f>
        <v>230902314</v>
      </c>
      <c r="E2508" s="10">
        <v>34.44</v>
      </c>
      <c r="F2508" s="10"/>
      <c r="G2508" s="10">
        <v>73</v>
      </c>
      <c r="H2508" s="10"/>
      <c r="I2508" s="10">
        <v>57.58</v>
      </c>
    </row>
    <row r="2509" spans="1:9" s="2" customFormat="1" ht="21.75" customHeight="1">
      <c r="A2509" s="8" t="s">
        <v>14</v>
      </c>
      <c r="B2509" s="8" t="s">
        <v>16</v>
      </c>
      <c r="C2509" s="9" t="str">
        <f t="shared" si="51"/>
        <v>230116</v>
      </c>
      <c r="D2509" s="9" t="str">
        <f>"230903212"</f>
        <v>230903212</v>
      </c>
      <c r="E2509" s="10">
        <v>43.66</v>
      </c>
      <c r="F2509" s="10"/>
      <c r="G2509" s="10">
        <v>63.5</v>
      </c>
      <c r="H2509" s="10"/>
      <c r="I2509" s="10">
        <v>55.56</v>
      </c>
    </row>
    <row r="2510" spans="1:9" s="3" customFormat="1" ht="21.75" customHeight="1">
      <c r="A2510" s="8" t="s">
        <v>14</v>
      </c>
      <c r="B2510" s="8" t="s">
        <v>16</v>
      </c>
      <c r="C2510" s="9" t="str">
        <f t="shared" si="51"/>
        <v>230116</v>
      </c>
      <c r="D2510" s="9" t="str">
        <f>"230902618"</f>
        <v>230902618</v>
      </c>
      <c r="E2510" s="10">
        <v>41.23</v>
      </c>
      <c r="F2510" s="10"/>
      <c r="G2510" s="10">
        <v>61</v>
      </c>
      <c r="H2510" s="10"/>
      <c r="I2510" s="10">
        <v>53.09</v>
      </c>
    </row>
    <row r="2511" spans="1:9" s="2" customFormat="1" ht="21.75" customHeight="1">
      <c r="A2511" s="8" t="s">
        <v>14</v>
      </c>
      <c r="B2511" s="8" t="s">
        <v>16</v>
      </c>
      <c r="C2511" s="9" t="str">
        <f t="shared" si="51"/>
        <v>230116</v>
      </c>
      <c r="D2511" s="9" t="str">
        <f>"230903123"</f>
        <v>230903123</v>
      </c>
      <c r="E2511" s="10">
        <v>66.52</v>
      </c>
      <c r="F2511" s="10"/>
      <c r="G2511" s="10">
        <v>40</v>
      </c>
      <c r="H2511" s="10"/>
      <c r="I2511" s="10">
        <v>50.61</v>
      </c>
    </row>
    <row r="2512" spans="1:9" s="2" customFormat="1" ht="21.75" customHeight="1">
      <c r="A2512" s="8" t="s">
        <v>14</v>
      </c>
      <c r="B2512" s="8" t="s">
        <v>16</v>
      </c>
      <c r="C2512" s="9" t="str">
        <f t="shared" si="51"/>
        <v>230116</v>
      </c>
      <c r="D2512" s="9" t="str">
        <f>"230902227"</f>
        <v>230902227</v>
      </c>
      <c r="E2512" s="10">
        <v>0</v>
      </c>
      <c r="F2512" s="10"/>
      <c r="G2512" s="10">
        <v>0</v>
      </c>
      <c r="H2512" s="10"/>
      <c r="I2512" s="10">
        <v>0</v>
      </c>
    </row>
    <row r="2513" spans="1:9" s="2" customFormat="1" ht="21.75" customHeight="1">
      <c r="A2513" s="8" t="s">
        <v>14</v>
      </c>
      <c r="B2513" s="8" t="s">
        <v>16</v>
      </c>
      <c r="C2513" s="9" t="str">
        <f t="shared" si="51"/>
        <v>230116</v>
      </c>
      <c r="D2513" s="9" t="str">
        <f>"230902229"</f>
        <v>230902229</v>
      </c>
      <c r="E2513" s="10">
        <v>0</v>
      </c>
      <c r="F2513" s="10"/>
      <c r="G2513" s="10">
        <v>0</v>
      </c>
      <c r="H2513" s="10"/>
      <c r="I2513" s="10">
        <v>0</v>
      </c>
    </row>
    <row r="2514" spans="1:9" s="2" customFormat="1" ht="21.75" customHeight="1">
      <c r="A2514" s="8" t="s">
        <v>14</v>
      </c>
      <c r="B2514" s="8" t="s">
        <v>16</v>
      </c>
      <c r="C2514" s="9" t="str">
        <f t="shared" si="51"/>
        <v>230116</v>
      </c>
      <c r="D2514" s="9" t="str">
        <f>"230902301"</f>
        <v>230902301</v>
      </c>
      <c r="E2514" s="10">
        <v>0</v>
      </c>
      <c r="F2514" s="10"/>
      <c r="G2514" s="10">
        <v>0</v>
      </c>
      <c r="H2514" s="10"/>
      <c r="I2514" s="10">
        <v>0</v>
      </c>
    </row>
    <row r="2515" spans="1:9" s="2" customFormat="1" ht="21.75" customHeight="1">
      <c r="A2515" s="8" t="s">
        <v>14</v>
      </c>
      <c r="B2515" s="8" t="s">
        <v>16</v>
      </c>
      <c r="C2515" s="9" t="str">
        <f t="shared" si="51"/>
        <v>230116</v>
      </c>
      <c r="D2515" s="9" t="str">
        <f>"230902304"</f>
        <v>230902304</v>
      </c>
      <c r="E2515" s="10">
        <v>0</v>
      </c>
      <c r="F2515" s="10"/>
      <c r="G2515" s="10">
        <v>0</v>
      </c>
      <c r="H2515" s="10"/>
      <c r="I2515" s="10">
        <v>0</v>
      </c>
    </row>
    <row r="2516" spans="1:9" s="2" customFormat="1" ht="21.75" customHeight="1">
      <c r="A2516" s="8" t="s">
        <v>14</v>
      </c>
      <c r="B2516" s="8" t="s">
        <v>16</v>
      </c>
      <c r="C2516" s="9" t="str">
        <f t="shared" si="51"/>
        <v>230116</v>
      </c>
      <c r="D2516" s="9" t="str">
        <f>"230902319"</f>
        <v>230902319</v>
      </c>
      <c r="E2516" s="10">
        <v>0</v>
      </c>
      <c r="F2516" s="10"/>
      <c r="G2516" s="10">
        <v>0</v>
      </c>
      <c r="H2516" s="10"/>
      <c r="I2516" s="10">
        <v>0</v>
      </c>
    </row>
    <row r="2517" spans="1:9" s="2" customFormat="1" ht="21.75" customHeight="1">
      <c r="A2517" s="8" t="s">
        <v>14</v>
      </c>
      <c r="B2517" s="8" t="s">
        <v>16</v>
      </c>
      <c r="C2517" s="9" t="str">
        <f t="shared" si="51"/>
        <v>230116</v>
      </c>
      <c r="D2517" s="9" t="str">
        <f>"230902322"</f>
        <v>230902322</v>
      </c>
      <c r="E2517" s="10">
        <v>0</v>
      </c>
      <c r="F2517" s="10"/>
      <c r="G2517" s="10">
        <v>0</v>
      </c>
      <c r="H2517" s="10"/>
      <c r="I2517" s="10">
        <v>0</v>
      </c>
    </row>
    <row r="2518" spans="1:9" s="2" customFormat="1" ht="21.75" customHeight="1">
      <c r="A2518" s="8" t="s">
        <v>14</v>
      </c>
      <c r="B2518" s="8" t="s">
        <v>16</v>
      </c>
      <c r="C2518" s="9" t="str">
        <f t="shared" si="51"/>
        <v>230116</v>
      </c>
      <c r="D2518" s="9" t="str">
        <f>"230902326"</f>
        <v>230902326</v>
      </c>
      <c r="E2518" s="10">
        <v>0</v>
      </c>
      <c r="F2518" s="10"/>
      <c r="G2518" s="10">
        <v>0</v>
      </c>
      <c r="H2518" s="10"/>
      <c r="I2518" s="10">
        <v>0</v>
      </c>
    </row>
    <row r="2519" spans="1:9" s="3" customFormat="1" ht="21.75" customHeight="1">
      <c r="A2519" s="8" t="s">
        <v>14</v>
      </c>
      <c r="B2519" s="8" t="s">
        <v>16</v>
      </c>
      <c r="C2519" s="9" t="str">
        <f t="shared" si="51"/>
        <v>230116</v>
      </c>
      <c r="D2519" s="9" t="str">
        <f>"230902328"</f>
        <v>230902328</v>
      </c>
      <c r="E2519" s="10">
        <v>0</v>
      </c>
      <c r="F2519" s="10"/>
      <c r="G2519" s="10">
        <v>0</v>
      </c>
      <c r="H2519" s="10"/>
      <c r="I2519" s="10">
        <v>0</v>
      </c>
    </row>
    <row r="2520" spans="1:9" s="3" customFormat="1" ht="21.75" customHeight="1">
      <c r="A2520" s="8" t="s">
        <v>14</v>
      </c>
      <c r="B2520" s="8" t="s">
        <v>16</v>
      </c>
      <c r="C2520" s="9" t="str">
        <f t="shared" si="51"/>
        <v>230116</v>
      </c>
      <c r="D2520" s="9" t="str">
        <f>"230902330"</f>
        <v>230902330</v>
      </c>
      <c r="E2520" s="10">
        <v>0</v>
      </c>
      <c r="F2520" s="10"/>
      <c r="G2520" s="10">
        <v>0</v>
      </c>
      <c r="H2520" s="10"/>
      <c r="I2520" s="10">
        <v>0</v>
      </c>
    </row>
    <row r="2521" spans="1:9" s="2" customFormat="1" ht="21.75" customHeight="1">
      <c r="A2521" s="8" t="s">
        <v>14</v>
      </c>
      <c r="B2521" s="8" t="s">
        <v>16</v>
      </c>
      <c r="C2521" s="9" t="str">
        <f t="shared" si="51"/>
        <v>230116</v>
      </c>
      <c r="D2521" s="9" t="str">
        <f>"230902401"</f>
        <v>230902401</v>
      </c>
      <c r="E2521" s="10">
        <v>0</v>
      </c>
      <c r="F2521" s="10"/>
      <c r="G2521" s="10">
        <v>0</v>
      </c>
      <c r="H2521" s="10"/>
      <c r="I2521" s="10">
        <v>0</v>
      </c>
    </row>
    <row r="2522" spans="1:9" s="3" customFormat="1" ht="21.75" customHeight="1">
      <c r="A2522" s="8" t="s">
        <v>14</v>
      </c>
      <c r="B2522" s="8" t="s">
        <v>16</v>
      </c>
      <c r="C2522" s="9" t="str">
        <f t="shared" si="51"/>
        <v>230116</v>
      </c>
      <c r="D2522" s="9" t="str">
        <f>"230902402"</f>
        <v>230902402</v>
      </c>
      <c r="E2522" s="10">
        <v>0</v>
      </c>
      <c r="F2522" s="10"/>
      <c r="G2522" s="10">
        <v>0</v>
      </c>
      <c r="H2522" s="10"/>
      <c r="I2522" s="10">
        <v>0</v>
      </c>
    </row>
    <row r="2523" spans="1:9" s="2" customFormat="1" ht="21.75" customHeight="1">
      <c r="A2523" s="8" t="s">
        <v>14</v>
      </c>
      <c r="B2523" s="8" t="s">
        <v>16</v>
      </c>
      <c r="C2523" s="9" t="str">
        <f t="shared" si="51"/>
        <v>230116</v>
      </c>
      <c r="D2523" s="9" t="str">
        <f>"230902404"</f>
        <v>230902404</v>
      </c>
      <c r="E2523" s="10">
        <v>0</v>
      </c>
      <c r="F2523" s="10"/>
      <c r="G2523" s="10">
        <v>0</v>
      </c>
      <c r="H2523" s="10"/>
      <c r="I2523" s="10">
        <v>0</v>
      </c>
    </row>
    <row r="2524" spans="1:9" s="2" customFormat="1" ht="21.75" customHeight="1">
      <c r="A2524" s="8" t="s">
        <v>14</v>
      </c>
      <c r="B2524" s="8" t="s">
        <v>16</v>
      </c>
      <c r="C2524" s="9" t="str">
        <f t="shared" si="51"/>
        <v>230116</v>
      </c>
      <c r="D2524" s="9" t="str">
        <f>"230902415"</f>
        <v>230902415</v>
      </c>
      <c r="E2524" s="10">
        <v>0</v>
      </c>
      <c r="F2524" s="10"/>
      <c r="G2524" s="10">
        <v>0</v>
      </c>
      <c r="H2524" s="10"/>
      <c r="I2524" s="10">
        <v>0</v>
      </c>
    </row>
    <row r="2525" spans="1:9" s="2" customFormat="1" ht="21.75" customHeight="1">
      <c r="A2525" s="8" t="s">
        <v>14</v>
      </c>
      <c r="B2525" s="8" t="s">
        <v>16</v>
      </c>
      <c r="C2525" s="9" t="str">
        <f t="shared" si="51"/>
        <v>230116</v>
      </c>
      <c r="D2525" s="9" t="str">
        <f>"230902423"</f>
        <v>230902423</v>
      </c>
      <c r="E2525" s="10">
        <v>0</v>
      </c>
      <c r="F2525" s="10"/>
      <c r="G2525" s="10">
        <v>0</v>
      </c>
      <c r="H2525" s="10"/>
      <c r="I2525" s="10">
        <v>0</v>
      </c>
    </row>
    <row r="2526" spans="1:9" s="2" customFormat="1" ht="21.75" customHeight="1">
      <c r="A2526" s="8" t="s">
        <v>14</v>
      </c>
      <c r="B2526" s="8" t="s">
        <v>16</v>
      </c>
      <c r="C2526" s="9" t="str">
        <f t="shared" si="51"/>
        <v>230116</v>
      </c>
      <c r="D2526" s="9" t="str">
        <f>"230902505"</f>
        <v>230902505</v>
      </c>
      <c r="E2526" s="10">
        <v>0</v>
      </c>
      <c r="F2526" s="10"/>
      <c r="G2526" s="10">
        <v>0</v>
      </c>
      <c r="H2526" s="10"/>
      <c r="I2526" s="10">
        <v>0</v>
      </c>
    </row>
    <row r="2527" spans="1:9" s="2" customFormat="1" ht="21.75" customHeight="1">
      <c r="A2527" s="8" t="s">
        <v>14</v>
      </c>
      <c r="B2527" s="8" t="s">
        <v>16</v>
      </c>
      <c r="C2527" s="9" t="str">
        <f t="shared" si="51"/>
        <v>230116</v>
      </c>
      <c r="D2527" s="9" t="str">
        <f>"230902517"</f>
        <v>230902517</v>
      </c>
      <c r="E2527" s="10">
        <v>0</v>
      </c>
      <c r="F2527" s="10"/>
      <c r="G2527" s="10">
        <v>0</v>
      </c>
      <c r="H2527" s="10"/>
      <c r="I2527" s="10">
        <v>0</v>
      </c>
    </row>
    <row r="2528" spans="1:9" s="2" customFormat="1" ht="21.75" customHeight="1">
      <c r="A2528" s="8" t="s">
        <v>14</v>
      </c>
      <c r="B2528" s="8" t="s">
        <v>16</v>
      </c>
      <c r="C2528" s="9" t="str">
        <f t="shared" si="51"/>
        <v>230116</v>
      </c>
      <c r="D2528" s="9" t="str">
        <f>"230902523"</f>
        <v>230902523</v>
      </c>
      <c r="E2528" s="10">
        <v>0</v>
      </c>
      <c r="F2528" s="10"/>
      <c r="G2528" s="10">
        <v>0</v>
      </c>
      <c r="H2528" s="10"/>
      <c r="I2528" s="10">
        <v>0</v>
      </c>
    </row>
    <row r="2529" spans="1:9" s="2" customFormat="1" ht="21.75" customHeight="1">
      <c r="A2529" s="8" t="s">
        <v>14</v>
      </c>
      <c r="B2529" s="8" t="s">
        <v>16</v>
      </c>
      <c r="C2529" s="9" t="str">
        <f t="shared" si="51"/>
        <v>230116</v>
      </c>
      <c r="D2529" s="9" t="str">
        <f>"230902526"</f>
        <v>230902526</v>
      </c>
      <c r="E2529" s="10">
        <v>0</v>
      </c>
      <c r="F2529" s="10"/>
      <c r="G2529" s="10">
        <v>0</v>
      </c>
      <c r="H2529" s="10"/>
      <c r="I2529" s="10">
        <v>0</v>
      </c>
    </row>
    <row r="2530" spans="1:9" s="3" customFormat="1" ht="21.75" customHeight="1">
      <c r="A2530" s="8" t="s">
        <v>14</v>
      </c>
      <c r="B2530" s="8" t="s">
        <v>16</v>
      </c>
      <c r="C2530" s="9" t="str">
        <f t="shared" si="51"/>
        <v>230116</v>
      </c>
      <c r="D2530" s="9" t="str">
        <f>"230902603"</f>
        <v>230902603</v>
      </c>
      <c r="E2530" s="10">
        <v>0</v>
      </c>
      <c r="F2530" s="10"/>
      <c r="G2530" s="10">
        <v>0</v>
      </c>
      <c r="H2530" s="10"/>
      <c r="I2530" s="10">
        <v>0</v>
      </c>
    </row>
    <row r="2531" spans="1:9" s="3" customFormat="1" ht="21.75" customHeight="1">
      <c r="A2531" s="8" t="s">
        <v>14</v>
      </c>
      <c r="B2531" s="8" t="s">
        <v>16</v>
      </c>
      <c r="C2531" s="9" t="str">
        <f t="shared" si="51"/>
        <v>230116</v>
      </c>
      <c r="D2531" s="9" t="str">
        <f>"230902606"</f>
        <v>230902606</v>
      </c>
      <c r="E2531" s="10">
        <v>0</v>
      </c>
      <c r="F2531" s="10"/>
      <c r="G2531" s="10">
        <v>0</v>
      </c>
      <c r="H2531" s="10"/>
      <c r="I2531" s="10">
        <v>0</v>
      </c>
    </row>
    <row r="2532" spans="1:9" s="2" customFormat="1" ht="21.75" customHeight="1">
      <c r="A2532" s="8" t="s">
        <v>14</v>
      </c>
      <c r="B2532" s="8" t="s">
        <v>16</v>
      </c>
      <c r="C2532" s="9" t="str">
        <f t="shared" si="51"/>
        <v>230116</v>
      </c>
      <c r="D2532" s="9" t="str">
        <f>"230902609"</f>
        <v>230902609</v>
      </c>
      <c r="E2532" s="10">
        <v>0</v>
      </c>
      <c r="F2532" s="10"/>
      <c r="G2532" s="10">
        <v>0</v>
      </c>
      <c r="H2532" s="10"/>
      <c r="I2532" s="10">
        <v>0</v>
      </c>
    </row>
    <row r="2533" spans="1:9" s="2" customFormat="1" ht="21.75" customHeight="1">
      <c r="A2533" s="8" t="s">
        <v>14</v>
      </c>
      <c r="B2533" s="8" t="s">
        <v>16</v>
      </c>
      <c r="C2533" s="9" t="str">
        <f t="shared" si="51"/>
        <v>230116</v>
      </c>
      <c r="D2533" s="9" t="str">
        <f>"230902611"</f>
        <v>230902611</v>
      </c>
      <c r="E2533" s="10">
        <v>0</v>
      </c>
      <c r="F2533" s="10"/>
      <c r="G2533" s="10">
        <v>0</v>
      </c>
      <c r="H2533" s="10"/>
      <c r="I2533" s="10">
        <v>0</v>
      </c>
    </row>
    <row r="2534" spans="1:9" s="2" customFormat="1" ht="21.75" customHeight="1">
      <c r="A2534" s="8" t="s">
        <v>14</v>
      </c>
      <c r="B2534" s="8" t="s">
        <v>16</v>
      </c>
      <c r="C2534" s="9" t="str">
        <f t="shared" si="51"/>
        <v>230116</v>
      </c>
      <c r="D2534" s="9" t="str">
        <f>"230902612"</f>
        <v>230902612</v>
      </c>
      <c r="E2534" s="10">
        <v>0</v>
      </c>
      <c r="F2534" s="10"/>
      <c r="G2534" s="10">
        <v>0</v>
      </c>
      <c r="H2534" s="10"/>
      <c r="I2534" s="10">
        <v>0</v>
      </c>
    </row>
    <row r="2535" spans="1:9" s="2" customFormat="1" ht="21.75" customHeight="1">
      <c r="A2535" s="8" t="s">
        <v>14</v>
      </c>
      <c r="B2535" s="8" t="s">
        <v>16</v>
      </c>
      <c r="C2535" s="9" t="str">
        <f t="shared" si="51"/>
        <v>230116</v>
      </c>
      <c r="D2535" s="9" t="str">
        <f>"230902617"</f>
        <v>230902617</v>
      </c>
      <c r="E2535" s="10">
        <v>0</v>
      </c>
      <c r="F2535" s="10"/>
      <c r="G2535" s="10">
        <v>0</v>
      </c>
      <c r="H2535" s="10"/>
      <c r="I2535" s="10">
        <v>0</v>
      </c>
    </row>
    <row r="2536" spans="1:9" s="3" customFormat="1" ht="21.75" customHeight="1">
      <c r="A2536" s="8" t="s">
        <v>14</v>
      </c>
      <c r="B2536" s="8" t="s">
        <v>16</v>
      </c>
      <c r="C2536" s="9" t="str">
        <f t="shared" si="51"/>
        <v>230116</v>
      </c>
      <c r="D2536" s="9" t="str">
        <f>"230902624"</f>
        <v>230902624</v>
      </c>
      <c r="E2536" s="10">
        <v>0</v>
      </c>
      <c r="F2536" s="10"/>
      <c r="G2536" s="10">
        <v>0</v>
      </c>
      <c r="H2536" s="10"/>
      <c r="I2536" s="10">
        <v>0</v>
      </c>
    </row>
    <row r="2537" spans="1:9" s="2" customFormat="1" ht="21.75" customHeight="1">
      <c r="A2537" s="8" t="s">
        <v>14</v>
      </c>
      <c r="B2537" s="8" t="s">
        <v>16</v>
      </c>
      <c r="C2537" s="9" t="str">
        <f t="shared" ref="C2537:C2585" si="52">"230116"</f>
        <v>230116</v>
      </c>
      <c r="D2537" s="9" t="str">
        <f>"230902629"</f>
        <v>230902629</v>
      </c>
      <c r="E2537" s="10">
        <v>0</v>
      </c>
      <c r="F2537" s="10"/>
      <c r="G2537" s="10">
        <v>0</v>
      </c>
      <c r="H2537" s="10"/>
      <c r="I2537" s="10">
        <v>0</v>
      </c>
    </row>
    <row r="2538" spans="1:9" s="2" customFormat="1" ht="21.75" customHeight="1">
      <c r="A2538" s="8" t="s">
        <v>14</v>
      </c>
      <c r="B2538" s="8" t="s">
        <v>16</v>
      </c>
      <c r="C2538" s="9" t="str">
        <f t="shared" si="52"/>
        <v>230116</v>
      </c>
      <c r="D2538" s="9" t="str">
        <f>"230902703"</f>
        <v>230902703</v>
      </c>
      <c r="E2538" s="10">
        <v>0</v>
      </c>
      <c r="F2538" s="10"/>
      <c r="G2538" s="10">
        <v>0</v>
      </c>
      <c r="H2538" s="10"/>
      <c r="I2538" s="10">
        <v>0</v>
      </c>
    </row>
    <row r="2539" spans="1:9" s="2" customFormat="1" ht="21.75" customHeight="1">
      <c r="A2539" s="8" t="s">
        <v>14</v>
      </c>
      <c r="B2539" s="8" t="s">
        <v>16</v>
      </c>
      <c r="C2539" s="9" t="str">
        <f t="shared" si="52"/>
        <v>230116</v>
      </c>
      <c r="D2539" s="9" t="str">
        <f>"230902718"</f>
        <v>230902718</v>
      </c>
      <c r="E2539" s="10">
        <v>0</v>
      </c>
      <c r="F2539" s="10"/>
      <c r="G2539" s="10">
        <v>0</v>
      </c>
      <c r="H2539" s="10"/>
      <c r="I2539" s="10">
        <v>0</v>
      </c>
    </row>
    <row r="2540" spans="1:9" s="2" customFormat="1" ht="21.75" customHeight="1">
      <c r="A2540" s="8" t="s">
        <v>14</v>
      </c>
      <c r="B2540" s="8" t="s">
        <v>16</v>
      </c>
      <c r="C2540" s="9" t="str">
        <f t="shared" si="52"/>
        <v>230116</v>
      </c>
      <c r="D2540" s="9" t="str">
        <f>"230902725"</f>
        <v>230902725</v>
      </c>
      <c r="E2540" s="10">
        <v>0</v>
      </c>
      <c r="F2540" s="10"/>
      <c r="G2540" s="10">
        <v>0</v>
      </c>
      <c r="H2540" s="10"/>
      <c r="I2540" s="10">
        <v>0</v>
      </c>
    </row>
    <row r="2541" spans="1:9" s="2" customFormat="1" ht="21.75" customHeight="1">
      <c r="A2541" s="8" t="s">
        <v>14</v>
      </c>
      <c r="B2541" s="8" t="s">
        <v>16</v>
      </c>
      <c r="C2541" s="9" t="str">
        <f t="shared" si="52"/>
        <v>230116</v>
      </c>
      <c r="D2541" s="9" t="str">
        <f>"230902726"</f>
        <v>230902726</v>
      </c>
      <c r="E2541" s="10">
        <v>0</v>
      </c>
      <c r="F2541" s="10"/>
      <c r="G2541" s="10">
        <v>0</v>
      </c>
      <c r="H2541" s="10"/>
      <c r="I2541" s="10">
        <v>0</v>
      </c>
    </row>
    <row r="2542" spans="1:9" s="2" customFormat="1" ht="21.75" customHeight="1">
      <c r="A2542" s="8" t="s">
        <v>14</v>
      </c>
      <c r="B2542" s="8" t="s">
        <v>16</v>
      </c>
      <c r="C2542" s="9" t="str">
        <f t="shared" si="52"/>
        <v>230116</v>
      </c>
      <c r="D2542" s="9" t="str">
        <f>"230902805"</f>
        <v>230902805</v>
      </c>
      <c r="E2542" s="10">
        <v>0</v>
      </c>
      <c r="F2542" s="10"/>
      <c r="G2542" s="10">
        <v>0</v>
      </c>
      <c r="H2542" s="10"/>
      <c r="I2542" s="10">
        <v>0</v>
      </c>
    </row>
    <row r="2543" spans="1:9" s="3" customFormat="1" ht="21.75" customHeight="1">
      <c r="A2543" s="8" t="s">
        <v>14</v>
      </c>
      <c r="B2543" s="8" t="s">
        <v>16</v>
      </c>
      <c r="C2543" s="9" t="str">
        <f t="shared" si="52"/>
        <v>230116</v>
      </c>
      <c r="D2543" s="9" t="str">
        <f>"230902809"</f>
        <v>230902809</v>
      </c>
      <c r="E2543" s="10">
        <v>0</v>
      </c>
      <c r="F2543" s="10"/>
      <c r="G2543" s="10">
        <v>0</v>
      </c>
      <c r="H2543" s="10"/>
      <c r="I2543" s="10">
        <v>0</v>
      </c>
    </row>
    <row r="2544" spans="1:9" s="3" customFormat="1" ht="21.75" customHeight="1">
      <c r="A2544" s="8" t="s">
        <v>14</v>
      </c>
      <c r="B2544" s="8" t="s">
        <v>16</v>
      </c>
      <c r="C2544" s="9" t="str">
        <f t="shared" si="52"/>
        <v>230116</v>
      </c>
      <c r="D2544" s="9" t="str">
        <f>"230902812"</f>
        <v>230902812</v>
      </c>
      <c r="E2544" s="10">
        <v>0</v>
      </c>
      <c r="F2544" s="10"/>
      <c r="G2544" s="10">
        <v>0</v>
      </c>
      <c r="H2544" s="10"/>
      <c r="I2544" s="10">
        <v>0</v>
      </c>
    </row>
    <row r="2545" spans="1:9" s="2" customFormat="1" ht="21.75" customHeight="1">
      <c r="A2545" s="8" t="s">
        <v>14</v>
      </c>
      <c r="B2545" s="8" t="s">
        <v>16</v>
      </c>
      <c r="C2545" s="9" t="str">
        <f t="shared" si="52"/>
        <v>230116</v>
      </c>
      <c r="D2545" s="9" t="str">
        <f>"230902815"</f>
        <v>230902815</v>
      </c>
      <c r="E2545" s="10">
        <v>0</v>
      </c>
      <c r="F2545" s="10"/>
      <c r="G2545" s="10">
        <v>0</v>
      </c>
      <c r="H2545" s="10"/>
      <c r="I2545" s="10">
        <v>0</v>
      </c>
    </row>
    <row r="2546" spans="1:9" s="2" customFormat="1" ht="21.75" customHeight="1">
      <c r="A2546" s="8" t="s">
        <v>14</v>
      </c>
      <c r="B2546" s="8" t="s">
        <v>16</v>
      </c>
      <c r="C2546" s="9" t="str">
        <f t="shared" si="52"/>
        <v>230116</v>
      </c>
      <c r="D2546" s="9" t="str">
        <f>"230902817"</f>
        <v>230902817</v>
      </c>
      <c r="E2546" s="10">
        <v>0</v>
      </c>
      <c r="F2546" s="10"/>
      <c r="G2546" s="10">
        <v>0</v>
      </c>
      <c r="H2546" s="10"/>
      <c r="I2546" s="10">
        <v>0</v>
      </c>
    </row>
    <row r="2547" spans="1:9" s="2" customFormat="1" ht="21.75" customHeight="1">
      <c r="A2547" s="8" t="s">
        <v>14</v>
      </c>
      <c r="B2547" s="8" t="s">
        <v>16</v>
      </c>
      <c r="C2547" s="9" t="str">
        <f t="shared" si="52"/>
        <v>230116</v>
      </c>
      <c r="D2547" s="9" t="str">
        <f>"230902821"</f>
        <v>230902821</v>
      </c>
      <c r="E2547" s="10">
        <v>0</v>
      </c>
      <c r="F2547" s="10"/>
      <c r="G2547" s="10">
        <v>0</v>
      </c>
      <c r="H2547" s="10"/>
      <c r="I2547" s="10">
        <v>0</v>
      </c>
    </row>
    <row r="2548" spans="1:9" s="2" customFormat="1" ht="21.75" customHeight="1">
      <c r="A2548" s="8" t="s">
        <v>14</v>
      </c>
      <c r="B2548" s="8" t="s">
        <v>16</v>
      </c>
      <c r="C2548" s="9" t="str">
        <f t="shared" si="52"/>
        <v>230116</v>
      </c>
      <c r="D2548" s="9" t="str">
        <f>"230902822"</f>
        <v>230902822</v>
      </c>
      <c r="E2548" s="10">
        <v>0</v>
      </c>
      <c r="F2548" s="10"/>
      <c r="G2548" s="10">
        <v>0</v>
      </c>
      <c r="H2548" s="10"/>
      <c r="I2548" s="10">
        <v>0</v>
      </c>
    </row>
    <row r="2549" spans="1:9" s="2" customFormat="1" ht="21.75" customHeight="1">
      <c r="A2549" s="8" t="s">
        <v>14</v>
      </c>
      <c r="B2549" s="8" t="s">
        <v>16</v>
      </c>
      <c r="C2549" s="9" t="str">
        <f t="shared" si="52"/>
        <v>230116</v>
      </c>
      <c r="D2549" s="9" t="str">
        <f>"230902823"</f>
        <v>230902823</v>
      </c>
      <c r="E2549" s="10">
        <v>0</v>
      </c>
      <c r="F2549" s="10"/>
      <c r="G2549" s="10">
        <v>0</v>
      </c>
      <c r="H2549" s="10"/>
      <c r="I2549" s="10">
        <v>0</v>
      </c>
    </row>
    <row r="2550" spans="1:9" s="2" customFormat="1" ht="21.75" customHeight="1">
      <c r="A2550" s="8" t="s">
        <v>14</v>
      </c>
      <c r="B2550" s="8" t="s">
        <v>16</v>
      </c>
      <c r="C2550" s="9" t="str">
        <f t="shared" si="52"/>
        <v>230116</v>
      </c>
      <c r="D2550" s="9" t="str">
        <f>"230902828"</f>
        <v>230902828</v>
      </c>
      <c r="E2550" s="10">
        <v>0</v>
      </c>
      <c r="F2550" s="10"/>
      <c r="G2550" s="10">
        <v>0</v>
      </c>
      <c r="H2550" s="10"/>
      <c r="I2550" s="10">
        <v>0</v>
      </c>
    </row>
    <row r="2551" spans="1:9" s="2" customFormat="1" ht="21.75" customHeight="1">
      <c r="A2551" s="8" t="s">
        <v>14</v>
      </c>
      <c r="B2551" s="8" t="s">
        <v>16</v>
      </c>
      <c r="C2551" s="9" t="str">
        <f t="shared" si="52"/>
        <v>230116</v>
      </c>
      <c r="D2551" s="9" t="str">
        <f>"230902901"</f>
        <v>230902901</v>
      </c>
      <c r="E2551" s="10">
        <v>0</v>
      </c>
      <c r="F2551" s="10"/>
      <c r="G2551" s="10">
        <v>0</v>
      </c>
      <c r="H2551" s="10"/>
      <c r="I2551" s="10">
        <v>0</v>
      </c>
    </row>
    <row r="2552" spans="1:9" s="2" customFormat="1" ht="21.75" customHeight="1">
      <c r="A2552" s="8" t="s">
        <v>14</v>
      </c>
      <c r="B2552" s="8" t="s">
        <v>16</v>
      </c>
      <c r="C2552" s="9" t="str">
        <f t="shared" si="52"/>
        <v>230116</v>
      </c>
      <c r="D2552" s="9" t="str">
        <f>"230902906"</f>
        <v>230902906</v>
      </c>
      <c r="E2552" s="10">
        <v>0</v>
      </c>
      <c r="F2552" s="10"/>
      <c r="G2552" s="10">
        <v>0</v>
      </c>
      <c r="H2552" s="10"/>
      <c r="I2552" s="10">
        <v>0</v>
      </c>
    </row>
    <row r="2553" spans="1:9" s="2" customFormat="1" ht="21.75" customHeight="1">
      <c r="A2553" s="8" t="s">
        <v>14</v>
      </c>
      <c r="B2553" s="8" t="s">
        <v>16</v>
      </c>
      <c r="C2553" s="9" t="str">
        <f t="shared" si="52"/>
        <v>230116</v>
      </c>
      <c r="D2553" s="9" t="str">
        <f>"230902911"</f>
        <v>230902911</v>
      </c>
      <c r="E2553" s="10">
        <v>0</v>
      </c>
      <c r="F2553" s="10"/>
      <c r="G2553" s="10">
        <v>0</v>
      </c>
      <c r="H2553" s="10"/>
      <c r="I2553" s="10">
        <v>0</v>
      </c>
    </row>
    <row r="2554" spans="1:9" s="2" customFormat="1" ht="21.75" customHeight="1">
      <c r="A2554" s="8" t="s">
        <v>14</v>
      </c>
      <c r="B2554" s="8" t="s">
        <v>16</v>
      </c>
      <c r="C2554" s="9" t="str">
        <f t="shared" si="52"/>
        <v>230116</v>
      </c>
      <c r="D2554" s="9" t="str">
        <f>"230902912"</f>
        <v>230902912</v>
      </c>
      <c r="E2554" s="10">
        <v>0</v>
      </c>
      <c r="F2554" s="10"/>
      <c r="G2554" s="10">
        <v>0</v>
      </c>
      <c r="H2554" s="10"/>
      <c r="I2554" s="10">
        <v>0</v>
      </c>
    </row>
    <row r="2555" spans="1:9" s="2" customFormat="1" ht="21.75" customHeight="1">
      <c r="A2555" s="8" t="s">
        <v>14</v>
      </c>
      <c r="B2555" s="8" t="s">
        <v>16</v>
      </c>
      <c r="C2555" s="9" t="str">
        <f t="shared" si="52"/>
        <v>230116</v>
      </c>
      <c r="D2555" s="9" t="str">
        <f>"230902914"</f>
        <v>230902914</v>
      </c>
      <c r="E2555" s="10">
        <v>0</v>
      </c>
      <c r="F2555" s="10"/>
      <c r="G2555" s="10">
        <v>0</v>
      </c>
      <c r="H2555" s="10"/>
      <c r="I2555" s="10">
        <v>0</v>
      </c>
    </row>
    <row r="2556" spans="1:9" s="2" customFormat="1" ht="21.75" customHeight="1">
      <c r="A2556" s="8" t="s">
        <v>14</v>
      </c>
      <c r="B2556" s="8" t="s">
        <v>16</v>
      </c>
      <c r="C2556" s="9" t="str">
        <f t="shared" si="52"/>
        <v>230116</v>
      </c>
      <c r="D2556" s="9" t="str">
        <f>"230902921"</f>
        <v>230902921</v>
      </c>
      <c r="E2556" s="10">
        <v>0</v>
      </c>
      <c r="F2556" s="10"/>
      <c r="G2556" s="10">
        <v>0</v>
      </c>
      <c r="H2556" s="10"/>
      <c r="I2556" s="10">
        <v>0</v>
      </c>
    </row>
    <row r="2557" spans="1:9" s="2" customFormat="1" ht="21.75" customHeight="1">
      <c r="A2557" s="8" t="s">
        <v>14</v>
      </c>
      <c r="B2557" s="8" t="s">
        <v>16</v>
      </c>
      <c r="C2557" s="9" t="str">
        <f t="shared" si="52"/>
        <v>230116</v>
      </c>
      <c r="D2557" s="9" t="str">
        <f>"230902922"</f>
        <v>230902922</v>
      </c>
      <c r="E2557" s="10">
        <v>0</v>
      </c>
      <c r="F2557" s="10"/>
      <c r="G2557" s="10">
        <v>0</v>
      </c>
      <c r="H2557" s="10"/>
      <c r="I2557" s="10">
        <v>0</v>
      </c>
    </row>
    <row r="2558" spans="1:9" s="2" customFormat="1" ht="21.75" customHeight="1">
      <c r="A2558" s="8" t="s">
        <v>14</v>
      </c>
      <c r="B2558" s="8" t="s">
        <v>16</v>
      </c>
      <c r="C2558" s="9" t="str">
        <f t="shared" si="52"/>
        <v>230116</v>
      </c>
      <c r="D2558" s="9" t="str">
        <f>"230902923"</f>
        <v>230902923</v>
      </c>
      <c r="E2558" s="10">
        <v>0</v>
      </c>
      <c r="F2558" s="10"/>
      <c r="G2558" s="10">
        <v>0</v>
      </c>
      <c r="H2558" s="10"/>
      <c r="I2558" s="10">
        <v>0</v>
      </c>
    </row>
    <row r="2559" spans="1:9" s="2" customFormat="1" ht="21.75" customHeight="1">
      <c r="A2559" s="8" t="s">
        <v>14</v>
      </c>
      <c r="B2559" s="8" t="s">
        <v>16</v>
      </c>
      <c r="C2559" s="9" t="str">
        <f t="shared" si="52"/>
        <v>230116</v>
      </c>
      <c r="D2559" s="9" t="str">
        <f>"230902925"</f>
        <v>230902925</v>
      </c>
      <c r="E2559" s="10">
        <v>0</v>
      </c>
      <c r="F2559" s="10"/>
      <c r="G2559" s="10">
        <v>0</v>
      </c>
      <c r="H2559" s="10"/>
      <c r="I2559" s="10">
        <v>0</v>
      </c>
    </row>
    <row r="2560" spans="1:9" s="2" customFormat="1" ht="21.75" customHeight="1">
      <c r="A2560" s="8" t="s">
        <v>14</v>
      </c>
      <c r="B2560" s="8" t="s">
        <v>16</v>
      </c>
      <c r="C2560" s="9" t="str">
        <f t="shared" si="52"/>
        <v>230116</v>
      </c>
      <c r="D2560" s="9" t="str">
        <f>"230902929"</f>
        <v>230902929</v>
      </c>
      <c r="E2560" s="10">
        <v>0</v>
      </c>
      <c r="F2560" s="10"/>
      <c r="G2560" s="10">
        <v>0</v>
      </c>
      <c r="H2560" s="10"/>
      <c r="I2560" s="10">
        <v>0</v>
      </c>
    </row>
    <row r="2561" spans="1:9" s="3" customFormat="1" ht="21.75" customHeight="1">
      <c r="A2561" s="8" t="s">
        <v>14</v>
      </c>
      <c r="B2561" s="8" t="s">
        <v>16</v>
      </c>
      <c r="C2561" s="9" t="str">
        <f t="shared" si="52"/>
        <v>230116</v>
      </c>
      <c r="D2561" s="9" t="str">
        <f>"230902930"</f>
        <v>230902930</v>
      </c>
      <c r="E2561" s="10">
        <v>0</v>
      </c>
      <c r="F2561" s="10"/>
      <c r="G2561" s="10">
        <v>0</v>
      </c>
      <c r="H2561" s="10"/>
      <c r="I2561" s="10">
        <v>0</v>
      </c>
    </row>
    <row r="2562" spans="1:9" s="2" customFormat="1" ht="21.75" customHeight="1">
      <c r="A2562" s="8" t="s">
        <v>14</v>
      </c>
      <c r="B2562" s="8" t="s">
        <v>16</v>
      </c>
      <c r="C2562" s="9" t="str">
        <f t="shared" si="52"/>
        <v>230116</v>
      </c>
      <c r="D2562" s="9" t="str">
        <f>"230903001"</f>
        <v>230903001</v>
      </c>
      <c r="E2562" s="10">
        <v>0</v>
      </c>
      <c r="F2562" s="10"/>
      <c r="G2562" s="10">
        <v>0</v>
      </c>
      <c r="H2562" s="10"/>
      <c r="I2562" s="10">
        <v>0</v>
      </c>
    </row>
    <row r="2563" spans="1:9" s="2" customFormat="1" ht="21.75" customHeight="1">
      <c r="A2563" s="8" t="s">
        <v>14</v>
      </c>
      <c r="B2563" s="8" t="s">
        <v>16</v>
      </c>
      <c r="C2563" s="9" t="str">
        <f t="shared" si="52"/>
        <v>230116</v>
      </c>
      <c r="D2563" s="9" t="str">
        <f>"230903004"</f>
        <v>230903004</v>
      </c>
      <c r="E2563" s="10">
        <v>0</v>
      </c>
      <c r="F2563" s="10"/>
      <c r="G2563" s="10">
        <v>0</v>
      </c>
      <c r="H2563" s="10"/>
      <c r="I2563" s="10">
        <v>0</v>
      </c>
    </row>
    <row r="2564" spans="1:9" s="2" customFormat="1" ht="21.75" customHeight="1">
      <c r="A2564" s="8" t="s">
        <v>14</v>
      </c>
      <c r="B2564" s="8" t="s">
        <v>16</v>
      </c>
      <c r="C2564" s="9" t="str">
        <f t="shared" si="52"/>
        <v>230116</v>
      </c>
      <c r="D2564" s="9" t="str">
        <f>"230903005"</f>
        <v>230903005</v>
      </c>
      <c r="E2564" s="10">
        <v>0</v>
      </c>
      <c r="F2564" s="10"/>
      <c r="G2564" s="10">
        <v>0</v>
      </c>
      <c r="H2564" s="10"/>
      <c r="I2564" s="10">
        <v>0</v>
      </c>
    </row>
    <row r="2565" spans="1:9" s="2" customFormat="1" ht="21.75" customHeight="1">
      <c r="A2565" s="8" t="s">
        <v>14</v>
      </c>
      <c r="B2565" s="8" t="s">
        <v>16</v>
      </c>
      <c r="C2565" s="9" t="str">
        <f t="shared" si="52"/>
        <v>230116</v>
      </c>
      <c r="D2565" s="9" t="str">
        <f>"230903014"</f>
        <v>230903014</v>
      </c>
      <c r="E2565" s="10">
        <v>0</v>
      </c>
      <c r="F2565" s="10"/>
      <c r="G2565" s="10">
        <v>0</v>
      </c>
      <c r="H2565" s="10"/>
      <c r="I2565" s="10">
        <v>0</v>
      </c>
    </row>
    <row r="2566" spans="1:9" s="3" customFormat="1" ht="21.75" customHeight="1">
      <c r="A2566" s="8" t="s">
        <v>14</v>
      </c>
      <c r="B2566" s="8" t="s">
        <v>16</v>
      </c>
      <c r="C2566" s="9" t="str">
        <f t="shared" si="52"/>
        <v>230116</v>
      </c>
      <c r="D2566" s="9" t="str">
        <f>"230903015"</f>
        <v>230903015</v>
      </c>
      <c r="E2566" s="10">
        <v>0</v>
      </c>
      <c r="F2566" s="10"/>
      <c r="G2566" s="10">
        <v>0</v>
      </c>
      <c r="H2566" s="10"/>
      <c r="I2566" s="10">
        <v>0</v>
      </c>
    </row>
    <row r="2567" spans="1:9" s="2" customFormat="1" ht="21.75" customHeight="1">
      <c r="A2567" s="8" t="s">
        <v>14</v>
      </c>
      <c r="B2567" s="8" t="s">
        <v>16</v>
      </c>
      <c r="C2567" s="9" t="str">
        <f t="shared" si="52"/>
        <v>230116</v>
      </c>
      <c r="D2567" s="9" t="str">
        <f>"230903022"</f>
        <v>230903022</v>
      </c>
      <c r="E2567" s="10">
        <v>0</v>
      </c>
      <c r="F2567" s="10"/>
      <c r="G2567" s="10">
        <v>0</v>
      </c>
      <c r="H2567" s="10"/>
      <c r="I2567" s="10">
        <v>0</v>
      </c>
    </row>
    <row r="2568" spans="1:9" s="2" customFormat="1" ht="21.75" customHeight="1">
      <c r="A2568" s="8" t="s">
        <v>14</v>
      </c>
      <c r="B2568" s="8" t="s">
        <v>16</v>
      </c>
      <c r="C2568" s="9" t="str">
        <f t="shared" si="52"/>
        <v>230116</v>
      </c>
      <c r="D2568" s="9" t="str">
        <f>"230903025"</f>
        <v>230903025</v>
      </c>
      <c r="E2568" s="10">
        <v>0</v>
      </c>
      <c r="F2568" s="10"/>
      <c r="G2568" s="10">
        <v>0</v>
      </c>
      <c r="H2568" s="10"/>
      <c r="I2568" s="10">
        <v>0</v>
      </c>
    </row>
    <row r="2569" spans="1:9" s="2" customFormat="1" ht="21.75" customHeight="1">
      <c r="A2569" s="8" t="s">
        <v>14</v>
      </c>
      <c r="B2569" s="8" t="s">
        <v>16</v>
      </c>
      <c r="C2569" s="9" t="str">
        <f t="shared" si="52"/>
        <v>230116</v>
      </c>
      <c r="D2569" s="9" t="str">
        <f>"230903026"</f>
        <v>230903026</v>
      </c>
      <c r="E2569" s="10">
        <v>0</v>
      </c>
      <c r="F2569" s="10"/>
      <c r="G2569" s="10">
        <v>0</v>
      </c>
      <c r="H2569" s="10"/>
      <c r="I2569" s="10">
        <v>0</v>
      </c>
    </row>
    <row r="2570" spans="1:9" s="2" customFormat="1" ht="21.75" customHeight="1">
      <c r="A2570" s="8" t="s">
        <v>14</v>
      </c>
      <c r="B2570" s="8" t="s">
        <v>16</v>
      </c>
      <c r="C2570" s="9" t="str">
        <f t="shared" si="52"/>
        <v>230116</v>
      </c>
      <c r="D2570" s="9" t="str">
        <f>"230903028"</f>
        <v>230903028</v>
      </c>
      <c r="E2570" s="10">
        <v>0</v>
      </c>
      <c r="F2570" s="10"/>
      <c r="G2570" s="10">
        <v>0</v>
      </c>
      <c r="H2570" s="10"/>
      <c r="I2570" s="10">
        <v>0</v>
      </c>
    </row>
    <row r="2571" spans="1:9" s="2" customFormat="1" ht="21.75" customHeight="1">
      <c r="A2571" s="8" t="s">
        <v>14</v>
      </c>
      <c r="B2571" s="8" t="s">
        <v>16</v>
      </c>
      <c r="C2571" s="9" t="str">
        <f t="shared" si="52"/>
        <v>230116</v>
      </c>
      <c r="D2571" s="9" t="str">
        <f>"230903029"</f>
        <v>230903029</v>
      </c>
      <c r="E2571" s="10">
        <v>0</v>
      </c>
      <c r="F2571" s="10"/>
      <c r="G2571" s="10">
        <v>0</v>
      </c>
      <c r="H2571" s="10"/>
      <c r="I2571" s="10">
        <v>0</v>
      </c>
    </row>
    <row r="2572" spans="1:9" s="2" customFormat="1" ht="21.75" customHeight="1">
      <c r="A2572" s="8" t="s">
        <v>14</v>
      </c>
      <c r="B2572" s="8" t="s">
        <v>16</v>
      </c>
      <c r="C2572" s="9" t="str">
        <f t="shared" si="52"/>
        <v>230116</v>
      </c>
      <c r="D2572" s="9" t="str">
        <f>"230903104"</f>
        <v>230903104</v>
      </c>
      <c r="E2572" s="10">
        <v>0</v>
      </c>
      <c r="F2572" s="10"/>
      <c r="G2572" s="10">
        <v>0</v>
      </c>
      <c r="H2572" s="10"/>
      <c r="I2572" s="10">
        <v>0</v>
      </c>
    </row>
    <row r="2573" spans="1:9" s="2" customFormat="1" ht="21.75" customHeight="1">
      <c r="A2573" s="8" t="s">
        <v>14</v>
      </c>
      <c r="B2573" s="8" t="s">
        <v>16</v>
      </c>
      <c r="C2573" s="9" t="str">
        <f t="shared" si="52"/>
        <v>230116</v>
      </c>
      <c r="D2573" s="9" t="str">
        <f>"230903107"</f>
        <v>230903107</v>
      </c>
      <c r="E2573" s="10">
        <v>0</v>
      </c>
      <c r="F2573" s="10"/>
      <c r="G2573" s="10">
        <v>0</v>
      </c>
      <c r="H2573" s="10"/>
      <c r="I2573" s="10">
        <v>0</v>
      </c>
    </row>
    <row r="2574" spans="1:9" s="2" customFormat="1" ht="21.75" customHeight="1">
      <c r="A2574" s="8" t="s">
        <v>14</v>
      </c>
      <c r="B2574" s="8" t="s">
        <v>16</v>
      </c>
      <c r="C2574" s="9" t="str">
        <f t="shared" si="52"/>
        <v>230116</v>
      </c>
      <c r="D2574" s="9" t="str">
        <f>"230903112"</f>
        <v>230903112</v>
      </c>
      <c r="E2574" s="10">
        <v>0</v>
      </c>
      <c r="F2574" s="10"/>
      <c r="G2574" s="10">
        <v>0</v>
      </c>
      <c r="H2574" s="10"/>
      <c r="I2574" s="10">
        <v>0</v>
      </c>
    </row>
    <row r="2575" spans="1:9" s="2" customFormat="1" ht="21.75" customHeight="1">
      <c r="A2575" s="8" t="s">
        <v>14</v>
      </c>
      <c r="B2575" s="8" t="s">
        <v>16</v>
      </c>
      <c r="C2575" s="9" t="str">
        <f t="shared" si="52"/>
        <v>230116</v>
      </c>
      <c r="D2575" s="9" t="str">
        <f>"230903116"</f>
        <v>230903116</v>
      </c>
      <c r="E2575" s="10">
        <v>0</v>
      </c>
      <c r="F2575" s="10"/>
      <c r="G2575" s="10">
        <v>0</v>
      </c>
      <c r="H2575" s="10"/>
      <c r="I2575" s="10">
        <v>0</v>
      </c>
    </row>
    <row r="2576" spans="1:9" s="3" customFormat="1" ht="21.75" customHeight="1">
      <c r="A2576" s="8" t="s">
        <v>14</v>
      </c>
      <c r="B2576" s="8" t="s">
        <v>16</v>
      </c>
      <c r="C2576" s="9" t="str">
        <f t="shared" si="52"/>
        <v>230116</v>
      </c>
      <c r="D2576" s="9" t="str">
        <f>"230903121"</f>
        <v>230903121</v>
      </c>
      <c r="E2576" s="10">
        <v>0</v>
      </c>
      <c r="F2576" s="10"/>
      <c r="G2576" s="10">
        <v>0</v>
      </c>
      <c r="H2576" s="10"/>
      <c r="I2576" s="10">
        <v>0</v>
      </c>
    </row>
    <row r="2577" spans="1:9" s="2" customFormat="1" ht="21.75" customHeight="1">
      <c r="A2577" s="8" t="s">
        <v>14</v>
      </c>
      <c r="B2577" s="8" t="s">
        <v>16</v>
      </c>
      <c r="C2577" s="9" t="str">
        <f t="shared" si="52"/>
        <v>230116</v>
      </c>
      <c r="D2577" s="9" t="str">
        <f>"230903124"</f>
        <v>230903124</v>
      </c>
      <c r="E2577" s="10">
        <v>0</v>
      </c>
      <c r="F2577" s="10"/>
      <c r="G2577" s="10">
        <v>0</v>
      </c>
      <c r="H2577" s="10"/>
      <c r="I2577" s="10">
        <v>0</v>
      </c>
    </row>
    <row r="2578" spans="1:9" s="2" customFormat="1" ht="21.75" customHeight="1">
      <c r="A2578" s="8" t="s">
        <v>14</v>
      </c>
      <c r="B2578" s="8" t="s">
        <v>16</v>
      </c>
      <c r="C2578" s="9" t="str">
        <f t="shared" si="52"/>
        <v>230116</v>
      </c>
      <c r="D2578" s="9" t="str">
        <f>"230903125"</f>
        <v>230903125</v>
      </c>
      <c r="E2578" s="10">
        <v>0</v>
      </c>
      <c r="F2578" s="10"/>
      <c r="G2578" s="10">
        <v>0</v>
      </c>
      <c r="H2578" s="10"/>
      <c r="I2578" s="10">
        <v>0</v>
      </c>
    </row>
    <row r="2579" spans="1:9" s="3" customFormat="1" ht="21.75" customHeight="1">
      <c r="A2579" s="8" t="s">
        <v>14</v>
      </c>
      <c r="B2579" s="8" t="s">
        <v>16</v>
      </c>
      <c r="C2579" s="9" t="str">
        <f t="shared" si="52"/>
        <v>230116</v>
      </c>
      <c r="D2579" s="9" t="str">
        <f>"230903129"</f>
        <v>230903129</v>
      </c>
      <c r="E2579" s="10">
        <v>0</v>
      </c>
      <c r="F2579" s="10"/>
      <c r="G2579" s="10">
        <v>0</v>
      </c>
      <c r="H2579" s="10"/>
      <c r="I2579" s="10">
        <v>0</v>
      </c>
    </row>
    <row r="2580" spans="1:9" s="2" customFormat="1" ht="21.75" customHeight="1">
      <c r="A2580" s="8" t="s">
        <v>14</v>
      </c>
      <c r="B2580" s="8" t="s">
        <v>16</v>
      </c>
      <c r="C2580" s="9" t="str">
        <f t="shared" si="52"/>
        <v>230116</v>
      </c>
      <c r="D2580" s="9" t="str">
        <f>"230903130"</f>
        <v>230903130</v>
      </c>
      <c r="E2580" s="10">
        <v>0</v>
      </c>
      <c r="F2580" s="10"/>
      <c r="G2580" s="10">
        <v>0</v>
      </c>
      <c r="H2580" s="10"/>
      <c r="I2580" s="10">
        <v>0</v>
      </c>
    </row>
    <row r="2581" spans="1:9" s="2" customFormat="1" ht="21.75" customHeight="1">
      <c r="A2581" s="8" t="s">
        <v>14</v>
      </c>
      <c r="B2581" s="8" t="s">
        <v>16</v>
      </c>
      <c r="C2581" s="9" t="str">
        <f t="shared" si="52"/>
        <v>230116</v>
      </c>
      <c r="D2581" s="9" t="str">
        <f>"230903208"</f>
        <v>230903208</v>
      </c>
      <c r="E2581" s="10">
        <v>0</v>
      </c>
      <c r="F2581" s="10"/>
      <c r="G2581" s="10">
        <v>0</v>
      </c>
      <c r="H2581" s="10"/>
      <c r="I2581" s="10">
        <v>0</v>
      </c>
    </row>
    <row r="2582" spans="1:9" s="2" customFormat="1" ht="21.75" customHeight="1">
      <c r="A2582" s="8" t="s">
        <v>14</v>
      </c>
      <c r="B2582" s="8" t="s">
        <v>16</v>
      </c>
      <c r="C2582" s="9" t="str">
        <f t="shared" si="52"/>
        <v>230116</v>
      </c>
      <c r="D2582" s="9" t="str">
        <f>"230903210"</f>
        <v>230903210</v>
      </c>
      <c r="E2582" s="10">
        <v>0</v>
      </c>
      <c r="F2582" s="10"/>
      <c r="G2582" s="10">
        <v>0</v>
      </c>
      <c r="H2582" s="10"/>
      <c r="I2582" s="10">
        <v>0</v>
      </c>
    </row>
    <row r="2583" spans="1:9" s="2" customFormat="1" ht="21.75" customHeight="1">
      <c r="A2583" s="8" t="s">
        <v>14</v>
      </c>
      <c r="B2583" s="8" t="s">
        <v>16</v>
      </c>
      <c r="C2583" s="9" t="str">
        <f t="shared" si="52"/>
        <v>230116</v>
      </c>
      <c r="D2583" s="9" t="str">
        <f>"230903213"</f>
        <v>230903213</v>
      </c>
      <c r="E2583" s="10">
        <v>0</v>
      </c>
      <c r="F2583" s="10"/>
      <c r="G2583" s="10">
        <v>0</v>
      </c>
      <c r="H2583" s="10"/>
      <c r="I2583" s="10">
        <v>0</v>
      </c>
    </row>
    <row r="2584" spans="1:9" s="2" customFormat="1" ht="21.75" customHeight="1">
      <c r="A2584" s="8" t="s">
        <v>14</v>
      </c>
      <c r="B2584" s="8" t="s">
        <v>16</v>
      </c>
      <c r="C2584" s="9" t="str">
        <f t="shared" si="52"/>
        <v>230116</v>
      </c>
      <c r="D2584" s="9" t="str">
        <f>"230903224"</f>
        <v>230903224</v>
      </c>
      <c r="E2584" s="10">
        <v>0</v>
      </c>
      <c r="F2584" s="10"/>
      <c r="G2584" s="10">
        <v>0</v>
      </c>
      <c r="H2584" s="10"/>
      <c r="I2584" s="10">
        <v>0</v>
      </c>
    </row>
    <row r="2585" spans="1:9" s="2" customFormat="1" ht="21.75" customHeight="1">
      <c r="A2585" s="8" t="s">
        <v>14</v>
      </c>
      <c r="B2585" s="8" t="s">
        <v>16</v>
      </c>
      <c r="C2585" s="9" t="str">
        <f t="shared" si="52"/>
        <v>230116</v>
      </c>
      <c r="D2585" s="9" t="str">
        <f>"230903229"</f>
        <v>230903229</v>
      </c>
      <c r="E2585" s="10">
        <v>0</v>
      </c>
      <c r="F2585" s="10"/>
      <c r="G2585" s="10">
        <v>0</v>
      </c>
      <c r="H2585" s="10"/>
      <c r="I2585" s="10">
        <v>0</v>
      </c>
    </row>
    <row r="2586" spans="1:9" ht="21.75" customHeight="1">
      <c r="A2586" s="8" t="s">
        <v>14</v>
      </c>
      <c r="B2586" s="8" t="s">
        <v>17</v>
      </c>
      <c r="C2586" s="9" t="str">
        <f t="shared" ref="C2586:C2617" si="53">"230117"</f>
        <v>230117</v>
      </c>
      <c r="D2586" s="9" t="str">
        <f>"230903606"</f>
        <v>230903606</v>
      </c>
      <c r="E2586" s="10">
        <v>85.5</v>
      </c>
      <c r="F2586" s="10"/>
      <c r="G2586" s="10">
        <v>74</v>
      </c>
      <c r="H2586" s="10"/>
      <c r="I2586" s="10">
        <v>78.599999999999994</v>
      </c>
    </row>
    <row r="2587" spans="1:9" s="1" customFormat="1" ht="21.75" customHeight="1">
      <c r="A2587" s="8" t="s">
        <v>14</v>
      </c>
      <c r="B2587" s="8" t="s">
        <v>17</v>
      </c>
      <c r="C2587" s="9" t="str">
        <f t="shared" si="53"/>
        <v>230117</v>
      </c>
      <c r="D2587" s="9" t="str">
        <f>"230903711"</f>
        <v>230903711</v>
      </c>
      <c r="E2587" s="10">
        <v>76.64</v>
      </c>
      <c r="F2587" s="10">
        <v>2</v>
      </c>
      <c r="G2587" s="10">
        <v>75.5</v>
      </c>
      <c r="H2587" s="10">
        <v>2</v>
      </c>
      <c r="I2587" s="11">
        <v>77.959999999999994</v>
      </c>
    </row>
    <row r="2588" spans="1:9" s="1" customFormat="1" ht="21.75" customHeight="1">
      <c r="A2588" s="8" t="s">
        <v>14</v>
      </c>
      <c r="B2588" s="8" t="s">
        <v>17</v>
      </c>
      <c r="C2588" s="9" t="str">
        <f t="shared" si="53"/>
        <v>230117</v>
      </c>
      <c r="D2588" s="9" t="str">
        <f>"230903515"</f>
        <v>230903515</v>
      </c>
      <c r="E2588" s="10">
        <v>76.650000000000006</v>
      </c>
      <c r="F2588" s="10"/>
      <c r="G2588" s="10">
        <v>78.5</v>
      </c>
      <c r="H2588" s="10"/>
      <c r="I2588" s="10">
        <v>77.760000000000005</v>
      </c>
    </row>
    <row r="2589" spans="1:9" ht="21.75" customHeight="1">
      <c r="A2589" s="8" t="s">
        <v>14</v>
      </c>
      <c r="B2589" s="8" t="s">
        <v>17</v>
      </c>
      <c r="C2589" s="9" t="str">
        <f t="shared" si="53"/>
        <v>230117</v>
      </c>
      <c r="D2589" s="9" t="str">
        <f>"230903420"</f>
        <v>230903420</v>
      </c>
      <c r="E2589" s="10">
        <v>75.25</v>
      </c>
      <c r="F2589" s="10"/>
      <c r="G2589" s="10">
        <v>79</v>
      </c>
      <c r="H2589" s="10"/>
      <c r="I2589" s="10">
        <v>77.5</v>
      </c>
    </row>
    <row r="2590" spans="1:9" ht="21.75" customHeight="1">
      <c r="A2590" s="8" t="s">
        <v>14</v>
      </c>
      <c r="B2590" s="8" t="s">
        <v>17</v>
      </c>
      <c r="C2590" s="9" t="str">
        <f t="shared" si="53"/>
        <v>230117</v>
      </c>
      <c r="D2590" s="9" t="str">
        <f>"230903624"</f>
        <v>230903624</v>
      </c>
      <c r="E2590" s="10">
        <v>74.47</v>
      </c>
      <c r="F2590" s="10"/>
      <c r="G2590" s="10">
        <v>79.5</v>
      </c>
      <c r="H2590" s="10"/>
      <c r="I2590" s="10">
        <v>77.489999999999995</v>
      </c>
    </row>
    <row r="2591" spans="1:9" s="1" customFormat="1" ht="21.75" customHeight="1">
      <c r="A2591" s="8" t="s">
        <v>14</v>
      </c>
      <c r="B2591" s="8" t="s">
        <v>17</v>
      </c>
      <c r="C2591" s="9" t="str">
        <f t="shared" si="53"/>
        <v>230117</v>
      </c>
      <c r="D2591" s="9" t="str">
        <f>"230903618"</f>
        <v>230903618</v>
      </c>
      <c r="E2591" s="10">
        <v>72.52</v>
      </c>
      <c r="F2591" s="10"/>
      <c r="G2591" s="10">
        <v>80.5</v>
      </c>
      <c r="H2591" s="10"/>
      <c r="I2591" s="10">
        <v>77.31</v>
      </c>
    </row>
    <row r="2592" spans="1:9" ht="21.75" customHeight="1">
      <c r="A2592" s="8" t="s">
        <v>14</v>
      </c>
      <c r="B2592" s="8" t="s">
        <v>17</v>
      </c>
      <c r="C2592" s="9" t="str">
        <f t="shared" si="53"/>
        <v>230117</v>
      </c>
      <c r="D2592" s="9" t="str">
        <f>"230903524"</f>
        <v>230903524</v>
      </c>
      <c r="E2592" s="10">
        <v>74.58</v>
      </c>
      <c r="F2592" s="10"/>
      <c r="G2592" s="10">
        <v>79</v>
      </c>
      <c r="H2592" s="10"/>
      <c r="I2592" s="10">
        <v>77.23</v>
      </c>
    </row>
    <row r="2593" spans="1:9" ht="21.75" customHeight="1">
      <c r="A2593" s="8" t="s">
        <v>14</v>
      </c>
      <c r="B2593" s="8" t="s">
        <v>17</v>
      </c>
      <c r="C2593" s="9" t="str">
        <f t="shared" si="53"/>
        <v>230117</v>
      </c>
      <c r="D2593" s="9" t="str">
        <f>"230903529"</f>
        <v>230903529</v>
      </c>
      <c r="E2593" s="10">
        <v>80.67</v>
      </c>
      <c r="F2593" s="10">
        <v>2</v>
      </c>
      <c r="G2593" s="10">
        <v>71.5</v>
      </c>
      <c r="H2593" s="10">
        <v>2</v>
      </c>
      <c r="I2593" s="11">
        <v>77.17</v>
      </c>
    </row>
    <row r="2594" spans="1:9" ht="21.75" customHeight="1">
      <c r="A2594" s="8" t="s">
        <v>14</v>
      </c>
      <c r="B2594" s="8" t="s">
        <v>17</v>
      </c>
      <c r="C2594" s="9" t="str">
        <f t="shared" si="53"/>
        <v>230117</v>
      </c>
      <c r="D2594" s="9" t="str">
        <f>"230903321"</f>
        <v>230903321</v>
      </c>
      <c r="E2594" s="10">
        <v>73.069999999999993</v>
      </c>
      <c r="F2594" s="10"/>
      <c r="G2594" s="10">
        <v>79</v>
      </c>
      <c r="H2594" s="10"/>
      <c r="I2594" s="10">
        <v>76.63</v>
      </c>
    </row>
    <row r="2595" spans="1:9" ht="21.75" customHeight="1">
      <c r="A2595" s="8" t="s">
        <v>14</v>
      </c>
      <c r="B2595" s="8" t="s">
        <v>17</v>
      </c>
      <c r="C2595" s="9" t="str">
        <f t="shared" si="53"/>
        <v>230117</v>
      </c>
      <c r="D2595" s="9" t="str">
        <f>"230903322"</f>
        <v>230903322</v>
      </c>
      <c r="E2595" s="10">
        <v>80.56</v>
      </c>
      <c r="F2595" s="10"/>
      <c r="G2595" s="10">
        <v>73.5</v>
      </c>
      <c r="H2595" s="10"/>
      <c r="I2595" s="10">
        <v>76.319999999999993</v>
      </c>
    </row>
    <row r="2596" spans="1:9" ht="21.75" customHeight="1">
      <c r="A2596" s="8" t="s">
        <v>14</v>
      </c>
      <c r="B2596" s="8" t="s">
        <v>17</v>
      </c>
      <c r="C2596" s="9" t="str">
        <f t="shared" si="53"/>
        <v>230117</v>
      </c>
      <c r="D2596" s="9" t="str">
        <f>"230903512"</f>
        <v>230903512</v>
      </c>
      <c r="E2596" s="10">
        <v>72.86</v>
      </c>
      <c r="F2596" s="10"/>
      <c r="G2596" s="10">
        <v>78.5</v>
      </c>
      <c r="H2596" s="10"/>
      <c r="I2596" s="10">
        <v>76.239999999999995</v>
      </c>
    </row>
    <row r="2597" spans="1:9" ht="21.75" customHeight="1">
      <c r="A2597" s="8" t="s">
        <v>14</v>
      </c>
      <c r="B2597" s="8" t="s">
        <v>17</v>
      </c>
      <c r="C2597" s="9" t="str">
        <f t="shared" si="53"/>
        <v>230117</v>
      </c>
      <c r="D2597" s="9" t="str">
        <f>"230903509"</f>
        <v>230903509</v>
      </c>
      <c r="E2597" s="10">
        <v>76.64</v>
      </c>
      <c r="F2597" s="10"/>
      <c r="G2597" s="10">
        <v>74.5</v>
      </c>
      <c r="H2597" s="10"/>
      <c r="I2597" s="10">
        <v>75.36</v>
      </c>
    </row>
    <row r="2598" spans="1:9" s="1" customFormat="1" ht="21.75" customHeight="1">
      <c r="A2598" s="8" t="s">
        <v>14</v>
      </c>
      <c r="B2598" s="8" t="s">
        <v>17</v>
      </c>
      <c r="C2598" s="9" t="str">
        <f t="shared" si="53"/>
        <v>230117</v>
      </c>
      <c r="D2598" s="9" t="str">
        <f>"230903603"</f>
        <v>230903603</v>
      </c>
      <c r="E2598" s="10">
        <v>72.16</v>
      </c>
      <c r="F2598" s="10"/>
      <c r="G2598" s="10">
        <v>77.5</v>
      </c>
      <c r="H2598" s="10"/>
      <c r="I2598" s="10">
        <v>75.36</v>
      </c>
    </row>
    <row r="2599" spans="1:9" ht="21.75" customHeight="1">
      <c r="A2599" s="8" t="s">
        <v>14</v>
      </c>
      <c r="B2599" s="8" t="s">
        <v>17</v>
      </c>
      <c r="C2599" s="9" t="str">
        <f t="shared" si="53"/>
        <v>230117</v>
      </c>
      <c r="D2599" s="9" t="str">
        <f>"230903503"</f>
        <v>230903503</v>
      </c>
      <c r="E2599" s="10">
        <v>66.069999999999993</v>
      </c>
      <c r="F2599" s="10"/>
      <c r="G2599" s="10">
        <v>81</v>
      </c>
      <c r="H2599" s="10"/>
      <c r="I2599" s="10">
        <v>75.03</v>
      </c>
    </row>
    <row r="2600" spans="1:9" s="1" customFormat="1" ht="21.75" customHeight="1">
      <c r="A2600" s="8" t="s">
        <v>14</v>
      </c>
      <c r="B2600" s="8" t="s">
        <v>17</v>
      </c>
      <c r="C2600" s="9" t="str">
        <f t="shared" si="53"/>
        <v>230117</v>
      </c>
      <c r="D2600" s="9" t="str">
        <f>"230903519"</f>
        <v>230903519</v>
      </c>
      <c r="E2600" s="10">
        <v>69.05</v>
      </c>
      <c r="F2600" s="10"/>
      <c r="G2600" s="10">
        <v>79</v>
      </c>
      <c r="H2600" s="10"/>
      <c r="I2600" s="10">
        <v>75.02</v>
      </c>
    </row>
    <row r="2601" spans="1:9" ht="21.75" customHeight="1">
      <c r="A2601" s="8" t="s">
        <v>14</v>
      </c>
      <c r="B2601" s="8" t="s">
        <v>17</v>
      </c>
      <c r="C2601" s="9" t="str">
        <f t="shared" si="53"/>
        <v>230117</v>
      </c>
      <c r="D2601" s="9" t="str">
        <f>"230903517"</f>
        <v>230903517</v>
      </c>
      <c r="E2601" s="10">
        <v>74.23</v>
      </c>
      <c r="F2601" s="10"/>
      <c r="G2601" s="10">
        <v>75.5</v>
      </c>
      <c r="H2601" s="10"/>
      <c r="I2601" s="10">
        <v>74.989999999999995</v>
      </c>
    </row>
    <row r="2602" spans="1:9" ht="21.75" customHeight="1">
      <c r="A2602" s="8" t="s">
        <v>14</v>
      </c>
      <c r="B2602" s="8" t="s">
        <v>17</v>
      </c>
      <c r="C2602" s="9" t="str">
        <f t="shared" si="53"/>
        <v>230117</v>
      </c>
      <c r="D2602" s="9" t="str">
        <f>"230903611"</f>
        <v>230903611</v>
      </c>
      <c r="E2602" s="10">
        <v>75.150000000000006</v>
      </c>
      <c r="F2602" s="10"/>
      <c r="G2602" s="10">
        <v>74.5</v>
      </c>
      <c r="H2602" s="10"/>
      <c r="I2602" s="10">
        <v>74.760000000000005</v>
      </c>
    </row>
    <row r="2603" spans="1:9" s="1" customFormat="1" ht="21.75" customHeight="1">
      <c r="A2603" s="8" t="s">
        <v>14</v>
      </c>
      <c r="B2603" s="8" t="s">
        <v>17</v>
      </c>
      <c r="C2603" s="9" t="str">
        <f t="shared" si="53"/>
        <v>230117</v>
      </c>
      <c r="D2603" s="9" t="str">
        <f>"230903303"</f>
        <v>230903303</v>
      </c>
      <c r="E2603" s="10">
        <v>72.38</v>
      </c>
      <c r="F2603" s="10"/>
      <c r="G2603" s="10">
        <v>76</v>
      </c>
      <c r="H2603" s="10"/>
      <c r="I2603" s="10">
        <v>74.55</v>
      </c>
    </row>
    <row r="2604" spans="1:9" ht="21.75" customHeight="1">
      <c r="A2604" s="8" t="s">
        <v>14</v>
      </c>
      <c r="B2604" s="8" t="s">
        <v>17</v>
      </c>
      <c r="C2604" s="9" t="str">
        <f t="shared" si="53"/>
        <v>230117</v>
      </c>
      <c r="D2604" s="9" t="str">
        <f>"230903510"</f>
        <v>230903510</v>
      </c>
      <c r="E2604" s="10">
        <v>76.28</v>
      </c>
      <c r="F2604" s="10"/>
      <c r="G2604" s="10">
        <v>73</v>
      </c>
      <c r="H2604" s="10"/>
      <c r="I2604" s="10">
        <v>74.31</v>
      </c>
    </row>
    <row r="2605" spans="1:9" ht="21.75" customHeight="1">
      <c r="A2605" s="8" t="s">
        <v>14</v>
      </c>
      <c r="B2605" s="8" t="s">
        <v>17</v>
      </c>
      <c r="C2605" s="9" t="str">
        <f t="shared" si="53"/>
        <v>230117</v>
      </c>
      <c r="D2605" s="9" t="str">
        <f>"230903402"</f>
        <v>230903402</v>
      </c>
      <c r="E2605" s="10">
        <v>75.510000000000005</v>
      </c>
      <c r="F2605" s="10"/>
      <c r="G2605" s="10">
        <v>73.5</v>
      </c>
      <c r="H2605" s="10"/>
      <c r="I2605" s="10">
        <v>74.3</v>
      </c>
    </row>
    <row r="2606" spans="1:9" ht="21.75" customHeight="1">
      <c r="A2606" s="8" t="s">
        <v>14</v>
      </c>
      <c r="B2606" s="8" t="s">
        <v>17</v>
      </c>
      <c r="C2606" s="9" t="str">
        <f t="shared" si="53"/>
        <v>230117</v>
      </c>
      <c r="D2606" s="9" t="str">
        <f>"230903410"</f>
        <v>230903410</v>
      </c>
      <c r="E2606" s="10">
        <v>72.400000000000006</v>
      </c>
      <c r="F2606" s="10"/>
      <c r="G2606" s="10">
        <v>75</v>
      </c>
      <c r="H2606" s="10"/>
      <c r="I2606" s="10">
        <v>73.959999999999994</v>
      </c>
    </row>
    <row r="2607" spans="1:9" ht="21.75" customHeight="1">
      <c r="A2607" s="8" t="s">
        <v>14</v>
      </c>
      <c r="B2607" s="8" t="s">
        <v>17</v>
      </c>
      <c r="C2607" s="9" t="str">
        <f t="shared" si="53"/>
        <v>230117</v>
      </c>
      <c r="D2607" s="9" t="str">
        <f>"230903417"</f>
        <v>230903417</v>
      </c>
      <c r="E2607" s="10">
        <v>69.06</v>
      </c>
      <c r="F2607" s="10"/>
      <c r="G2607" s="10">
        <v>77</v>
      </c>
      <c r="H2607" s="10"/>
      <c r="I2607" s="10">
        <v>73.819999999999993</v>
      </c>
    </row>
    <row r="2608" spans="1:9" ht="21.75" customHeight="1">
      <c r="A2608" s="8" t="s">
        <v>14</v>
      </c>
      <c r="B2608" s="8" t="s">
        <v>17</v>
      </c>
      <c r="C2608" s="9" t="str">
        <f t="shared" si="53"/>
        <v>230117</v>
      </c>
      <c r="D2608" s="9" t="str">
        <f>"230903614"</f>
        <v>230903614</v>
      </c>
      <c r="E2608" s="10">
        <v>77.209999999999994</v>
      </c>
      <c r="F2608" s="10"/>
      <c r="G2608" s="10">
        <v>71.5</v>
      </c>
      <c r="H2608" s="10"/>
      <c r="I2608" s="10">
        <v>73.78</v>
      </c>
    </row>
    <row r="2609" spans="1:9" s="1" customFormat="1" ht="21.75" customHeight="1">
      <c r="A2609" s="8" t="s">
        <v>14</v>
      </c>
      <c r="B2609" s="8" t="s">
        <v>17</v>
      </c>
      <c r="C2609" s="9" t="str">
        <f t="shared" si="53"/>
        <v>230117</v>
      </c>
      <c r="D2609" s="9" t="str">
        <f>"230903610"</f>
        <v>230903610</v>
      </c>
      <c r="E2609" s="10">
        <v>71.709999999999994</v>
      </c>
      <c r="F2609" s="10"/>
      <c r="G2609" s="10">
        <v>74.5</v>
      </c>
      <c r="H2609" s="10"/>
      <c r="I2609" s="10">
        <v>73.38</v>
      </c>
    </row>
    <row r="2610" spans="1:9" s="1" customFormat="1" ht="21.75" customHeight="1">
      <c r="A2610" s="8" t="s">
        <v>14</v>
      </c>
      <c r="B2610" s="8" t="s">
        <v>17</v>
      </c>
      <c r="C2610" s="9" t="str">
        <f t="shared" si="53"/>
        <v>230117</v>
      </c>
      <c r="D2610" s="9" t="str">
        <f>"230903304"</f>
        <v>230903304</v>
      </c>
      <c r="E2610" s="10">
        <v>69.39</v>
      </c>
      <c r="F2610" s="10"/>
      <c r="G2610" s="10">
        <v>76</v>
      </c>
      <c r="H2610" s="10"/>
      <c r="I2610" s="10">
        <v>73.36</v>
      </c>
    </row>
    <row r="2611" spans="1:9" ht="21.75" customHeight="1">
      <c r="A2611" s="8" t="s">
        <v>14</v>
      </c>
      <c r="B2611" s="8" t="s">
        <v>17</v>
      </c>
      <c r="C2611" s="9" t="str">
        <f t="shared" si="53"/>
        <v>230117</v>
      </c>
      <c r="D2611" s="9" t="str">
        <f>"230903415"</f>
        <v>230903415</v>
      </c>
      <c r="E2611" s="10">
        <v>78.25</v>
      </c>
      <c r="F2611" s="10"/>
      <c r="G2611" s="10">
        <v>70</v>
      </c>
      <c r="H2611" s="10"/>
      <c r="I2611" s="10">
        <v>73.3</v>
      </c>
    </row>
    <row r="2612" spans="1:9" ht="21.75" customHeight="1">
      <c r="A2612" s="8" t="s">
        <v>14</v>
      </c>
      <c r="B2612" s="8" t="s">
        <v>17</v>
      </c>
      <c r="C2612" s="9" t="str">
        <f t="shared" si="53"/>
        <v>230117</v>
      </c>
      <c r="D2612" s="9" t="str">
        <f>"230903418"</f>
        <v>230903418</v>
      </c>
      <c r="E2612" s="10">
        <v>75.14</v>
      </c>
      <c r="F2612" s="10"/>
      <c r="G2612" s="10">
        <v>72</v>
      </c>
      <c r="H2612" s="10"/>
      <c r="I2612" s="10">
        <v>73.260000000000005</v>
      </c>
    </row>
    <row r="2613" spans="1:9" ht="21.75" customHeight="1">
      <c r="A2613" s="8" t="s">
        <v>14</v>
      </c>
      <c r="B2613" s="8" t="s">
        <v>17</v>
      </c>
      <c r="C2613" s="9" t="str">
        <f t="shared" si="53"/>
        <v>230117</v>
      </c>
      <c r="D2613" s="9" t="str">
        <f>"230903521"</f>
        <v>230903521</v>
      </c>
      <c r="E2613" s="10">
        <v>79.989999999999995</v>
      </c>
      <c r="F2613" s="10"/>
      <c r="G2613" s="10">
        <v>68.5</v>
      </c>
      <c r="H2613" s="10"/>
      <c r="I2613" s="10">
        <v>73.099999999999994</v>
      </c>
    </row>
    <row r="2614" spans="1:9" ht="21.75" customHeight="1">
      <c r="A2614" s="8" t="s">
        <v>14</v>
      </c>
      <c r="B2614" s="8" t="s">
        <v>17</v>
      </c>
      <c r="C2614" s="9" t="str">
        <f t="shared" si="53"/>
        <v>230117</v>
      </c>
      <c r="D2614" s="9" t="str">
        <f>"230903707"</f>
        <v>230903707</v>
      </c>
      <c r="E2614" s="10">
        <v>70.08</v>
      </c>
      <c r="F2614" s="10"/>
      <c r="G2614" s="10">
        <v>75</v>
      </c>
      <c r="H2614" s="10"/>
      <c r="I2614" s="10">
        <v>73.03</v>
      </c>
    </row>
    <row r="2615" spans="1:9" s="1" customFormat="1" ht="21.75" customHeight="1">
      <c r="A2615" s="8" t="s">
        <v>14</v>
      </c>
      <c r="B2615" s="8" t="s">
        <v>17</v>
      </c>
      <c r="C2615" s="9" t="str">
        <f t="shared" si="53"/>
        <v>230117</v>
      </c>
      <c r="D2615" s="9" t="str">
        <f>"230903317"</f>
        <v>230903317</v>
      </c>
      <c r="E2615" s="10">
        <v>72.39</v>
      </c>
      <c r="F2615" s="10"/>
      <c r="G2615" s="10">
        <v>73</v>
      </c>
      <c r="H2615" s="10"/>
      <c r="I2615" s="10">
        <v>72.760000000000005</v>
      </c>
    </row>
    <row r="2616" spans="1:9" ht="21.75" customHeight="1">
      <c r="A2616" s="8" t="s">
        <v>14</v>
      </c>
      <c r="B2616" s="8" t="s">
        <v>17</v>
      </c>
      <c r="C2616" s="9" t="str">
        <f t="shared" si="53"/>
        <v>230117</v>
      </c>
      <c r="D2616" s="9" t="str">
        <f>"230903605"</f>
        <v>230903605</v>
      </c>
      <c r="E2616" s="10">
        <v>71.11</v>
      </c>
      <c r="F2616" s="10"/>
      <c r="G2616" s="10">
        <v>73.5</v>
      </c>
      <c r="H2616" s="10"/>
      <c r="I2616" s="10">
        <v>72.540000000000006</v>
      </c>
    </row>
    <row r="2617" spans="1:9" ht="21.75" customHeight="1">
      <c r="A2617" s="8" t="s">
        <v>14</v>
      </c>
      <c r="B2617" s="8" t="s">
        <v>17</v>
      </c>
      <c r="C2617" s="9" t="str">
        <f t="shared" si="53"/>
        <v>230117</v>
      </c>
      <c r="D2617" s="9" t="str">
        <f>"230903608"</f>
        <v>230903608</v>
      </c>
      <c r="E2617" s="10">
        <v>71.81</v>
      </c>
      <c r="F2617" s="10"/>
      <c r="G2617" s="10">
        <v>73</v>
      </c>
      <c r="H2617" s="10"/>
      <c r="I2617" s="10">
        <v>72.52</v>
      </c>
    </row>
    <row r="2618" spans="1:9" ht="21.75" customHeight="1">
      <c r="A2618" s="8" t="s">
        <v>14</v>
      </c>
      <c r="B2618" s="8" t="s">
        <v>17</v>
      </c>
      <c r="C2618" s="9" t="str">
        <f t="shared" ref="C2618:C2649" si="54">"230117"</f>
        <v>230117</v>
      </c>
      <c r="D2618" s="9" t="str">
        <f>"230903508"</f>
        <v>230903508</v>
      </c>
      <c r="E2618" s="10">
        <v>76.28</v>
      </c>
      <c r="F2618" s="10"/>
      <c r="G2618" s="10">
        <v>70</v>
      </c>
      <c r="H2618" s="10"/>
      <c r="I2618" s="10">
        <v>72.510000000000005</v>
      </c>
    </row>
    <row r="2619" spans="1:9" s="1" customFormat="1" ht="21.75" customHeight="1">
      <c r="A2619" s="8" t="s">
        <v>14</v>
      </c>
      <c r="B2619" s="8" t="s">
        <v>17</v>
      </c>
      <c r="C2619" s="9" t="str">
        <f t="shared" si="54"/>
        <v>230117</v>
      </c>
      <c r="D2619" s="9" t="str">
        <f>"230903523"</f>
        <v>230903523</v>
      </c>
      <c r="E2619" s="10">
        <v>66.52</v>
      </c>
      <c r="F2619" s="10"/>
      <c r="G2619" s="10">
        <v>76.5</v>
      </c>
      <c r="H2619" s="10"/>
      <c r="I2619" s="10">
        <v>72.510000000000005</v>
      </c>
    </row>
    <row r="2620" spans="1:9" ht="21.75" customHeight="1">
      <c r="A2620" s="8" t="s">
        <v>14</v>
      </c>
      <c r="B2620" s="8" t="s">
        <v>17</v>
      </c>
      <c r="C2620" s="9" t="str">
        <f t="shared" si="54"/>
        <v>230117</v>
      </c>
      <c r="D2620" s="9" t="str">
        <f>"230903310"</f>
        <v>230903310</v>
      </c>
      <c r="E2620" s="10">
        <v>67.2</v>
      </c>
      <c r="F2620" s="10"/>
      <c r="G2620" s="10">
        <v>76</v>
      </c>
      <c r="H2620" s="10"/>
      <c r="I2620" s="10">
        <v>72.48</v>
      </c>
    </row>
    <row r="2621" spans="1:9" ht="21.75" customHeight="1">
      <c r="A2621" s="8" t="s">
        <v>14</v>
      </c>
      <c r="B2621" s="8" t="s">
        <v>17</v>
      </c>
      <c r="C2621" s="9" t="str">
        <f t="shared" si="54"/>
        <v>230117</v>
      </c>
      <c r="D2621" s="9" t="str">
        <f>"230903307"</f>
        <v>230903307</v>
      </c>
      <c r="E2621" s="10">
        <v>73.09</v>
      </c>
      <c r="F2621" s="10"/>
      <c r="G2621" s="10">
        <v>72</v>
      </c>
      <c r="H2621" s="10"/>
      <c r="I2621" s="10">
        <v>72.44</v>
      </c>
    </row>
    <row r="2622" spans="1:9" ht="21.75" customHeight="1">
      <c r="A2622" s="8" t="s">
        <v>14</v>
      </c>
      <c r="B2622" s="8" t="s">
        <v>17</v>
      </c>
      <c r="C2622" s="9" t="str">
        <f t="shared" si="54"/>
        <v>230117</v>
      </c>
      <c r="D2622" s="9" t="str">
        <f>"230903613"</f>
        <v>230903613</v>
      </c>
      <c r="E2622" s="10">
        <v>76.64</v>
      </c>
      <c r="F2622" s="10"/>
      <c r="G2622" s="10">
        <v>69.5</v>
      </c>
      <c r="H2622" s="10"/>
      <c r="I2622" s="10">
        <v>72.36</v>
      </c>
    </row>
    <row r="2623" spans="1:9" s="1" customFormat="1" ht="21.75" customHeight="1">
      <c r="A2623" s="8" t="s">
        <v>14</v>
      </c>
      <c r="B2623" s="8" t="s">
        <v>17</v>
      </c>
      <c r="C2623" s="9" t="str">
        <f t="shared" si="54"/>
        <v>230117</v>
      </c>
      <c r="D2623" s="9" t="str">
        <f>"230903607"</f>
        <v>230903607</v>
      </c>
      <c r="E2623" s="10">
        <v>66.63</v>
      </c>
      <c r="F2623" s="10"/>
      <c r="G2623" s="10">
        <v>76</v>
      </c>
      <c r="H2623" s="10"/>
      <c r="I2623" s="10">
        <v>72.25</v>
      </c>
    </row>
    <row r="2624" spans="1:9" ht="21.75" customHeight="1">
      <c r="A2624" s="8" t="s">
        <v>14</v>
      </c>
      <c r="B2624" s="8" t="s">
        <v>17</v>
      </c>
      <c r="C2624" s="9" t="str">
        <f t="shared" si="54"/>
        <v>230117</v>
      </c>
      <c r="D2624" s="9" t="str">
        <f>"230903705"</f>
        <v>230903705</v>
      </c>
      <c r="E2624" s="10">
        <v>70.319999999999993</v>
      </c>
      <c r="F2624" s="10"/>
      <c r="G2624" s="10">
        <v>73.5</v>
      </c>
      <c r="H2624" s="10"/>
      <c r="I2624" s="10">
        <v>72.23</v>
      </c>
    </row>
    <row r="2625" spans="1:9" ht="21.75" customHeight="1">
      <c r="A2625" s="8" t="s">
        <v>14</v>
      </c>
      <c r="B2625" s="8" t="s">
        <v>17</v>
      </c>
      <c r="C2625" s="9" t="str">
        <f t="shared" si="54"/>
        <v>230117</v>
      </c>
      <c r="D2625" s="9" t="str">
        <f>"230903604"</f>
        <v>230903604</v>
      </c>
      <c r="E2625" s="10">
        <v>74</v>
      </c>
      <c r="F2625" s="10"/>
      <c r="G2625" s="10">
        <v>71</v>
      </c>
      <c r="H2625" s="10"/>
      <c r="I2625" s="10">
        <v>72.2</v>
      </c>
    </row>
    <row r="2626" spans="1:9" ht="21.75" customHeight="1">
      <c r="A2626" s="8" t="s">
        <v>14</v>
      </c>
      <c r="B2626" s="8" t="s">
        <v>17</v>
      </c>
      <c r="C2626" s="9" t="str">
        <f t="shared" si="54"/>
        <v>230117</v>
      </c>
      <c r="D2626" s="9" t="str">
        <f>"230903525"</f>
        <v>230903525</v>
      </c>
      <c r="E2626" s="10">
        <v>72.16</v>
      </c>
      <c r="F2626" s="10"/>
      <c r="G2626" s="10">
        <v>72</v>
      </c>
      <c r="H2626" s="10"/>
      <c r="I2626" s="10">
        <v>72.06</v>
      </c>
    </row>
    <row r="2627" spans="1:9" ht="21.75" customHeight="1">
      <c r="A2627" s="8" t="s">
        <v>14</v>
      </c>
      <c r="B2627" s="8" t="s">
        <v>17</v>
      </c>
      <c r="C2627" s="9" t="str">
        <f t="shared" si="54"/>
        <v>230117</v>
      </c>
      <c r="D2627" s="9" t="str">
        <f>"230903422"</f>
        <v>230903422</v>
      </c>
      <c r="E2627" s="10">
        <v>68.83</v>
      </c>
      <c r="F2627" s="10"/>
      <c r="G2627" s="10">
        <v>74</v>
      </c>
      <c r="H2627" s="10"/>
      <c r="I2627" s="10">
        <v>71.930000000000007</v>
      </c>
    </row>
    <row r="2628" spans="1:9" s="1" customFormat="1" ht="21.75" customHeight="1">
      <c r="A2628" s="8" t="s">
        <v>14</v>
      </c>
      <c r="B2628" s="8" t="s">
        <v>17</v>
      </c>
      <c r="C2628" s="9" t="str">
        <f t="shared" si="54"/>
        <v>230117</v>
      </c>
      <c r="D2628" s="9" t="str">
        <f>"230903602"</f>
        <v>230903602</v>
      </c>
      <c r="E2628" s="10">
        <v>66.86</v>
      </c>
      <c r="F2628" s="10"/>
      <c r="G2628" s="10">
        <v>75</v>
      </c>
      <c r="H2628" s="10"/>
      <c r="I2628" s="10">
        <v>71.739999999999995</v>
      </c>
    </row>
    <row r="2629" spans="1:9" s="1" customFormat="1" ht="21.75" customHeight="1">
      <c r="A2629" s="8" t="s">
        <v>14</v>
      </c>
      <c r="B2629" s="8" t="s">
        <v>17</v>
      </c>
      <c r="C2629" s="9" t="str">
        <f t="shared" si="54"/>
        <v>230117</v>
      </c>
      <c r="D2629" s="9" t="str">
        <f>"230903309"</f>
        <v>230903309</v>
      </c>
      <c r="E2629" s="10">
        <v>75.819999999999993</v>
      </c>
      <c r="F2629" s="10"/>
      <c r="G2629" s="10">
        <v>69</v>
      </c>
      <c r="H2629" s="10"/>
      <c r="I2629" s="10">
        <v>71.73</v>
      </c>
    </row>
    <row r="2630" spans="1:9" s="1" customFormat="1" ht="21.75" customHeight="1">
      <c r="A2630" s="8" t="s">
        <v>14</v>
      </c>
      <c r="B2630" s="8" t="s">
        <v>17</v>
      </c>
      <c r="C2630" s="9" t="str">
        <f t="shared" si="54"/>
        <v>230117</v>
      </c>
      <c r="D2630" s="9" t="str">
        <f>"230903429"</f>
        <v>230903429</v>
      </c>
      <c r="E2630" s="10">
        <v>61.58</v>
      </c>
      <c r="F2630" s="10"/>
      <c r="G2630" s="10">
        <v>78.5</v>
      </c>
      <c r="H2630" s="10"/>
      <c r="I2630" s="10">
        <v>71.73</v>
      </c>
    </row>
    <row r="2631" spans="1:9" ht="21.75" customHeight="1">
      <c r="A2631" s="8" t="s">
        <v>14</v>
      </c>
      <c r="B2631" s="8" t="s">
        <v>17</v>
      </c>
      <c r="C2631" s="9" t="str">
        <f t="shared" si="54"/>
        <v>230117</v>
      </c>
      <c r="D2631" s="9" t="str">
        <f>"230903324"</f>
        <v>230903324</v>
      </c>
      <c r="E2631" s="10">
        <v>68.13</v>
      </c>
      <c r="F2631" s="10"/>
      <c r="G2631" s="10">
        <v>74</v>
      </c>
      <c r="H2631" s="10"/>
      <c r="I2631" s="10">
        <v>71.650000000000006</v>
      </c>
    </row>
    <row r="2632" spans="1:9" s="1" customFormat="1" ht="21.75" customHeight="1">
      <c r="A2632" s="8" t="s">
        <v>14</v>
      </c>
      <c r="B2632" s="8" t="s">
        <v>17</v>
      </c>
      <c r="C2632" s="9" t="str">
        <f t="shared" si="54"/>
        <v>230117</v>
      </c>
      <c r="D2632" s="9" t="str">
        <f>"230903312"</f>
        <v>230903312</v>
      </c>
      <c r="E2632" s="10">
        <v>77</v>
      </c>
      <c r="F2632" s="10"/>
      <c r="G2632" s="10">
        <v>68</v>
      </c>
      <c r="H2632" s="10"/>
      <c r="I2632" s="10">
        <v>71.599999999999994</v>
      </c>
    </row>
    <row r="2633" spans="1:9" ht="21.75" customHeight="1">
      <c r="A2633" s="8" t="s">
        <v>14</v>
      </c>
      <c r="B2633" s="8" t="s">
        <v>17</v>
      </c>
      <c r="C2633" s="9" t="str">
        <f t="shared" si="54"/>
        <v>230117</v>
      </c>
      <c r="D2633" s="9" t="str">
        <f>"230903407"</f>
        <v>230903407</v>
      </c>
      <c r="E2633" s="10">
        <v>64.23</v>
      </c>
      <c r="F2633" s="10"/>
      <c r="G2633" s="10">
        <v>76.5</v>
      </c>
      <c r="H2633" s="10"/>
      <c r="I2633" s="10">
        <v>71.59</v>
      </c>
    </row>
    <row r="2634" spans="1:9" ht="21.75" customHeight="1">
      <c r="A2634" s="8" t="s">
        <v>14</v>
      </c>
      <c r="B2634" s="8" t="s">
        <v>17</v>
      </c>
      <c r="C2634" s="9" t="str">
        <f t="shared" si="54"/>
        <v>230117</v>
      </c>
      <c r="D2634" s="9" t="str">
        <f>"230903302"</f>
        <v>230903302</v>
      </c>
      <c r="E2634" s="10">
        <v>70.19</v>
      </c>
      <c r="F2634" s="10"/>
      <c r="G2634" s="10">
        <v>72.5</v>
      </c>
      <c r="H2634" s="10"/>
      <c r="I2634" s="10">
        <v>71.58</v>
      </c>
    </row>
    <row r="2635" spans="1:9" ht="21.75" customHeight="1">
      <c r="A2635" s="8" t="s">
        <v>14</v>
      </c>
      <c r="B2635" s="8" t="s">
        <v>17</v>
      </c>
      <c r="C2635" s="9" t="str">
        <f t="shared" si="54"/>
        <v>230117</v>
      </c>
      <c r="D2635" s="9" t="str">
        <f>"230903616"</f>
        <v>230903616</v>
      </c>
      <c r="E2635" s="10">
        <v>67.209999999999994</v>
      </c>
      <c r="F2635" s="10"/>
      <c r="G2635" s="10">
        <v>74.5</v>
      </c>
      <c r="H2635" s="10"/>
      <c r="I2635" s="10">
        <v>71.58</v>
      </c>
    </row>
    <row r="2636" spans="1:9" s="1" customFormat="1" ht="21.75" customHeight="1">
      <c r="A2636" s="8" t="s">
        <v>14</v>
      </c>
      <c r="B2636" s="8" t="s">
        <v>17</v>
      </c>
      <c r="C2636" s="9" t="str">
        <f t="shared" si="54"/>
        <v>230117</v>
      </c>
      <c r="D2636" s="9" t="str">
        <f>"230903413"</f>
        <v>230903413</v>
      </c>
      <c r="E2636" s="10">
        <v>65.14</v>
      </c>
      <c r="F2636" s="10"/>
      <c r="G2636" s="10">
        <v>75.5</v>
      </c>
      <c r="H2636" s="10"/>
      <c r="I2636" s="10">
        <v>71.36</v>
      </c>
    </row>
    <row r="2637" spans="1:9" ht="21.75" customHeight="1">
      <c r="A2637" s="8" t="s">
        <v>14</v>
      </c>
      <c r="B2637" s="8" t="s">
        <v>17</v>
      </c>
      <c r="C2637" s="9" t="str">
        <f t="shared" si="54"/>
        <v>230117</v>
      </c>
      <c r="D2637" s="9" t="str">
        <f>"230903409"</f>
        <v>230903409</v>
      </c>
      <c r="E2637" s="10">
        <v>70.319999999999993</v>
      </c>
      <c r="F2637" s="10"/>
      <c r="G2637" s="10">
        <v>72</v>
      </c>
      <c r="H2637" s="10"/>
      <c r="I2637" s="10">
        <v>71.33</v>
      </c>
    </row>
    <row r="2638" spans="1:9" s="1" customFormat="1" ht="21.75" customHeight="1">
      <c r="A2638" s="8" t="s">
        <v>14</v>
      </c>
      <c r="B2638" s="8" t="s">
        <v>17</v>
      </c>
      <c r="C2638" s="9" t="str">
        <f t="shared" si="54"/>
        <v>230117</v>
      </c>
      <c r="D2638" s="9" t="str">
        <f>"230903703"</f>
        <v>230903703</v>
      </c>
      <c r="E2638" s="10">
        <v>75.38</v>
      </c>
      <c r="F2638" s="10"/>
      <c r="G2638" s="10">
        <v>68.5</v>
      </c>
      <c r="H2638" s="10"/>
      <c r="I2638" s="10">
        <v>71.25</v>
      </c>
    </row>
    <row r="2639" spans="1:9" ht="21.75" customHeight="1">
      <c r="A2639" s="8" t="s">
        <v>14</v>
      </c>
      <c r="B2639" s="8" t="s">
        <v>17</v>
      </c>
      <c r="C2639" s="9" t="str">
        <f t="shared" si="54"/>
        <v>230117</v>
      </c>
      <c r="D2639" s="9" t="str">
        <f>"230903319"</f>
        <v>230903319</v>
      </c>
      <c r="E2639" s="10">
        <v>71.36</v>
      </c>
      <c r="F2639" s="10"/>
      <c r="G2639" s="10">
        <v>71</v>
      </c>
      <c r="H2639" s="10"/>
      <c r="I2639" s="10">
        <v>71.14</v>
      </c>
    </row>
    <row r="2640" spans="1:9" ht="21.75" customHeight="1">
      <c r="A2640" s="8" t="s">
        <v>14</v>
      </c>
      <c r="B2640" s="8" t="s">
        <v>17</v>
      </c>
      <c r="C2640" s="9" t="str">
        <f t="shared" si="54"/>
        <v>230117</v>
      </c>
      <c r="D2640" s="9" t="str">
        <f>"230903325"</f>
        <v>230903325</v>
      </c>
      <c r="E2640" s="10">
        <v>63.86</v>
      </c>
      <c r="F2640" s="10"/>
      <c r="G2640" s="10">
        <v>76</v>
      </c>
      <c r="H2640" s="10"/>
      <c r="I2640" s="10">
        <v>71.14</v>
      </c>
    </row>
    <row r="2641" spans="1:9" ht="21.75" customHeight="1">
      <c r="A2641" s="8" t="s">
        <v>14</v>
      </c>
      <c r="B2641" s="8" t="s">
        <v>17</v>
      </c>
      <c r="C2641" s="9" t="str">
        <f t="shared" si="54"/>
        <v>230117</v>
      </c>
      <c r="D2641" s="9" t="str">
        <f>"230903323"</f>
        <v>230903323</v>
      </c>
      <c r="E2641" s="10">
        <v>67.45</v>
      </c>
      <c r="F2641" s="10"/>
      <c r="G2641" s="10">
        <v>73.5</v>
      </c>
      <c r="H2641" s="10"/>
      <c r="I2641" s="10">
        <v>71.08</v>
      </c>
    </row>
    <row r="2642" spans="1:9" ht="21.75" customHeight="1">
      <c r="A2642" s="8" t="s">
        <v>14</v>
      </c>
      <c r="B2642" s="8" t="s">
        <v>17</v>
      </c>
      <c r="C2642" s="9" t="str">
        <f t="shared" si="54"/>
        <v>230117</v>
      </c>
      <c r="D2642" s="9" t="str">
        <f>"230903518"</f>
        <v>230903518</v>
      </c>
      <c r="E2642" s="10">
        <v>62.95</v>
      </c>
      <c r="F2642" s="10"/>
      <c r="G2642" s="10">
        <v>76.5</v>
      </c>
      <c r="H2642" s="10"/>
      <c r="I2642" s="10">
        <v>71.08</v>
      </c>
    </row>
    <row r="2643" spans="1:9" ht="21.75" customHeight="1">
      <c r="A2643" s="8" t="s">
        <v>14</v>
      </c>
      <c r="B2643" s="8" t="s">
        <v>17</v>
      </c>
      <c r="C2643" s="9" t="str">
        <f t="shared" si="54"/>
        <v>230117</v>
      </c>
      <c r="D2643" s="9" t="str">
        <f>"230903330"</f>
        <v>230903330</v>
      </c>
      <c r="E2643" s="10">
        <v>73.78</v>
      </c>
      <c r="F2643" s="10"/>
      <c r="G2643" s="10">
        <v>69</v>
      </c>
      <c r="H2643" s="10"/>
      <c r="I2643" s="10">
        <v>70.91</v>
      </c>
    </row>
    <row r="2644" spans="1:9" s="1" customFormat="1" ht="21.75" customHeight="1">
      <c r="A2644" s="8" t="s">
        <v>14</v>
      </c>
      <c r="B2644" s="8" t="s">
        <v>17</v>
      </c>
      <c r="C2644" s="9" t="str">
        <f t="shared" si="54"/>
        <v>230117</v>
      </c>
      <c r="D2644" s="9" t="str">
        <f>"230903629"</f>
        <v>230903629</v>
      </c>
      <c r="E2644" s="10">
        <v>64.34</v>
      </c>
      <c r="F2644" s="10"/>
      <c r="G2644" s="10">
        <v>74</v>
      </c>
      <c r="H2644" s="10"/>
      <c r="I2644" s="10">
        <v>70.14</v>
      </c>
    </row>
    <row r="2645" spans="1:9" s="1" customFormat="1" ht="21.75" customHeight="1">
      <c r="A2645" s="8" t="s">
        <v>14</v>
      </c>
      <c r="B2645" s="8" t="s">
        <v>17</v>
      </c>
      <c r="C2645" s="9" t="str">
        <f t="shared" si="54"/>
        <v>230117</v>
      </c>
      <c r="D2645" s="9" t="str">
        <f>"230903708"</f>
        <v>230903708</v>
      </c>
      <c r="E2645" s="10">
        <v>65.02</v>
      </c>
      <c r="F2645" s="10"/>
      <c r="G2645" s="10">
        <v>73.5</v>
      </c>
      <c r="H2645" s="10"/>
      <c r="I2645" s="10">
        <v>70.11</v>
      </c>
    </row>
    <row r="2646" spans="1:9" ht="21.75" customHeight="1">
      <c r="A2646" s="8" t="s">
        <v>14</v>
      </c>
      <c r="B2646" s="8" t="s">
        <v>17</v>
      </c>
      <c r="C2646" s="9" t="str">
        <f t="shared" si="54"/>
        <v>230117</v>
      </c>
      <c r="D2646" s="9" t="str">
        <f>"230903706"</f>
        <v>230903706</v>
      </c>
      <c r="E2646" s="10">
        <v>65.72</v>
      </c>
      <c r="F2646" s="10"/>
      <c r="G2646" s="10">
        <v>73</v>
      </c>
      <c r="H2646" s="10"/>
      <c r="I2646" s="10">
        <v>70.09</v>
      </c>
    </row>
    <row r="2647" spans="1:9" ht="21.75" customHeight="1">
      <c r="A2647" s="8" t="s">
        <v>14</v>
      </c>
      <c r="B2647" s="8" t="s">
        <v>17</v>
      </c>
      <c r="C2647" s="9" t="str">
        <f t="shared" si="54"/>
        <v>230117</v>
      </c>
      <c r="D2647" s="9" t="str">
        <f>"230903505"</f>
        <v>230903505</v>
      </c>
      <c r="E2647" s="10">
        <v>69.05</v>
      </c>
      <c r="F2647" s="10"/>
      <c r="G2647" s="10">
        <v>70.5</v>
      </c>
      <c r="H2647" s="10"/>
      <c r="I2647" s="10">
        <v>69.92</v>
      </c>
    </row>
    <row r="2648" spans="1:9" ht="21.75" customHeight="1">
      <c r="A2648" s="8" t="s">
        <v>14</v>
      </c>
      <c r="B2648" s="8" t="s">
        <v>17</v>
      </c>
      <c r="C2648" s="9" t="str">
        <f t="shared" si="54"/>
        <v>230117</v>
      </c>
      <c r="D2648" s="9" t="str">
        <f>"230903612"</f>
        <v>230903612</v>
      </c>
      <c r="E2648" s="10">
        <v>59.99</v>
      </c>
      <c r="F2648" s="10"/>
      <c r="G2648" s="10">
        <v>76.5</v>
      </c>
      <c r="H2648" s="10"/>
      <c r="I2648" s="10">
        <v>69.900000000000006</v>
      </c>
    </row>
    <row r="2649" spans="1:9" ht="21.75" customHeight="1">
      <c r="A2649" s="8" t="s">
        <v>14</v>
      </c>
      <c r="B2649" s="8" t="s">
        <v>17</v>
      </c>
      <c r="C2649" s="9" t="str">
        <f t="shared" si="54"/>
        <v>230117</v>
      </c>
      <c r="D2649" s="9" t="str">
        <f>"230903425"</f>
        <v>230903425</v>
      </c>
      <c r="E2649" s="10">
        <v>73.069999999999993</v>
      </c>
      <c r="F2649" s="10"/>
      <c r="G2649" s="10">
        <v>67.5</v>
      </c>
      <c r="H2649" s="10"/>
      <c r="I2649" s="10">
        <v>69.73</v>
      </c>
    </row>
    <row r="2650" spans="1:9" ht="21.75" customHeight="1">
      <c r="A2650" s="8" t="s">
        <v>14</v>
      </c>
      <c r="B2650" s="8" t="s">
        <v>17</v>
      </c>
      <c r="C2650" s="9" t="str">
        <f t="shared" ref="C2650:C2681" si="55">"230117"</f>
        <v>230117</v>
      </c>
      <c r="D2650" s="9" t="str">
        <f>"230903628"</f>
        <v>230903628</v>
      </c>
      <c r="E2650" s="10">
        <v>60.77</v>
      </c>
      <c r="F2650" s="10"/>
      <c r="G2650" s="10">
        <v>75.5</v>
      </c>
      <c r="H2650" s="10"/>
      <c r="I2650" s="10">
        <v>69.61</v>
      </c>
    </row>
    <row r="2651" spans="1:9" ht="21.75" customHeight="1">
      <c r="A2651" s="8" t="s">
        <v>14</v>
      </c>
      <c r="B2651" s="8" t="s">
        <v>17</v>
      </c>
      <c r="C2651" s="9" t="str">
        <f t="shared" si="55"/>
        <v>230117</v>
      </c>
      <c r="D2651" s="9" t="str">
        <f>"230903315"</f>
        <v>230903315</v>
      </c>
      <c r="E2651" s="10">
        <v>68.47</v>
      </c>
      <c r="F2651" s="10"/>
      <c r="G2651" s="10">
        <v>70</v>
      </c>
      <c r="H2651" s="10"/>
      <c r="I2651" s="10">
        <v>69.39</v>
      </c>
    </row>
    <row r="2652" spans="1:9" s="1" customFormat="1" ht="21.75" customHeight="1">
      <c r="A2652" s="8" t="s">
        <v>14</v>
      </c>
      <c r="B2652" s="8" t="s">
        <v>17</v>
      </c>
      <c r="C2652" s="9" t="str">
        <f t="shared" si="55"/>
        <v>230117</v>
      </c>
      <c r="D2652" s="9" t="str">
        <f>"230903426"</f>
        <v>230903426</v>
      </c>
      <c r="E2652" s="10">
        <v>68.27</v>
      </c>
      <c r="F2652" s="10"/>
      <c r="G2652" s="10">
        <v>70</v>
      </c>
      <c r="H2652" s="10"/>
      <c r="I2652" s="10">
        <v>69.31</v>
      </c>
    </row>
    <row r="2653" spans="1:9" ht="21.75" customHeight="1">
      <c r="A2653" s="8" t="s">
        <v>14</v>
      </c>
      <c r="B2653" s="8" t="s">
        <v>17</v>
      </c>
      <c r="C2653" s="9" t="str">
        <f t="shared" si="55"/>
        <v>230117</v>
      </c>
      <c r="D2653" s="9" t="str">
        <f>"230903507"</f>
        <v>230903507</v>
      </c>
      <c r="E2653" s="10">
        <v>66.64</v>
      </c>
      <c r="F2653" s="10"/>
      <c r="G2653" s="10">
        <v>71</v>
      </c>
      <c r="H2653" s="10"/>
      <c r="I2653" s="10">
        <v>69.260000000000005</v>
      </c>
    </row>
    <row r="2654" spans="1:9" s="1" customFormat="1" ht="21.75" customHeight="1">
      <c r="A2654" s="8" t="s">
        <v>14</v>
      </c>
      <c r="B2654" s="8" t="s">
        <v>17</v>
      </c>
      <c r="C2654" s="9" t="str">
        <f t="shared" si="55"/>
        <v>230117</v>
      </c>
      <c r="D2654" s="9" t="str">
        <f>"230903701"</f>
        <v>230903701</v>
      </c>
      <c r="E2654" s="10">
        <v>66.31</v>
      </c>
      <c r="F2654" s="10"/>
      <c r="G2654" s="10">
        <v>71</v>
      </c>
      <c r="H2654" s="10"/>
      <c r="I2654" s="10">
        <v>69.12</v>
      </c>
    </row>
    <row r="2655" spans="1:9" ht="21.75" customHeight="1">
      <c r="A2655" s="8" t="s">
        <v>14</v>
      </c>
      <c r="B2655" s="8" t="s">
        <v>17</v>
      </c>
      <c r="C2655" s="9" t="str">
        <f t="shared" si="55"/>
        <v>230117</v>
      </c>
      <c r="D2655" s="9" t="str">
        <f>"230903619"</f>
        <v>230903619</v>
      </c>
      <c r="E2655" s="10">
        <v>63.66</v>
      </c>
      <c r="F2655" s="10"/>
      <c r="G2655" s="10">
        <v>72.5</v>
      </c>
      <c r="H2655" s="10"/>
      <c r="I2655" s="10">
        <v>68.959999999999994</v>
      </c>
    </row>
    <row r="2656" spans="1:9" ht="21.75" customHeight="1">
      <c r="A2656" s="8" t="s">
        <v>14</v>
      </c>
      <c r="B2656" s="8" t="s">
        <v>17</v>
      </c>
      <c r="C2656" s="9" t="str">
        <f t="shared" si="55"/>
        <v>230117</v>
      </c>
      <c r="D2656" s="9" t="str">
        <f>"230903313"</f>
        <v>230903313</v>
      </c>
      <c r="E2656" s="10">
        <v>61.24</v>
      </c>
      <c r="F2656" s="10"/>
      <c r="G2656" s="10">
        <v>73.5</v>
      </c>
      <c r="H2656" s="10"/>
      <c r="I2656" s="10">
        <v>68.599999999999994</v>
      </c>
    </row>
    <row r="2657" spans="1:9" s="1" customFormat="1" ht="21.75" customHeight="1">
      <c r="A2657" s="8" t="s">
        <v>14</v>
      </c>
      <c r="B2657" s="8" t="s">
        <v>17</v>
      </c>
      <c r="C2657" s="9" t="str">
        <f t="shared" si="55"/>
        <v>230117</v>
      </c>
      <c r="D2657" s="9" t="str">
        <f>"230903625"</f>
        <v>230903625</v>
      </c>
      <c r="E2657" s="10">
        <v>65.73</v>
      </c>
      <c r="F2657" s="10"/>
      <c r="G2657" s="10">
        <v>70</v>
      </c>
      <c r="H2657" s="10"/>
      <c r="I2657" s="10">
        <v>68.290000000000006</v>
      </c>
    </row>
    <row r="2658" spans="1:9" ht="21.75" customHeight="1">
      <c r="A2658" s="8" t="s">
        <v>14</v>
      </c>
      <c r="B2658" s="8" t="s">
        <v>17</v>
      </c>
      <c r="C2658" s="9" t="str">
        <f t="shared" si="55"/>
        <v>230117</v>
      </c>
      <c r="D2658" s="9" t="str">
        <f>"230903522"</f>
        <v>230903522</v>
      </c>
      <c r="E2658" s="10">
        <v>68.489999999999995</v>
      </c>
      <c r="F2658" s="10"/>
      <c r="G2658" s="10">
        <v>68</v>
      </c>
      <c r="H2658" s="10"/>
      <c r="I2658" s="10">
        <v>68.2</v>
      </c>
    </row>
    <row r="2659" spans="1:9" ht="21.75" customHeight="1">
      <c r="A2659" s="8" t="s">
        <v>14</v>
      </c>
      <c r="B2659" s="8" t="s">
        <v>17</v>
      </c>
      <c r="C2659" s="9" t="str">
        <f t="shared" si="55"/>
        <v>230117</v>
      </c>
      <c r="D2659" s="9" t="str">
        <f>"230903406"</f>
        <v>230903406</v>
      </c>
      <c r="E2659" s="10">
        <v>66.069999999999993</v>
      </c>
      <c r="F2659" s="10"/>
      <c r="G2659" s="10">
        <v>69</v>
      </c>
      <c r="H2659" s="10"/>
      <c r="I2659" s="10">
        <v>67.83</v>
      </c>
    </row>
    <row r="2660" spans="1:9" ht="21.75" customHeight="1">
      <c r="A2660" s="8" t="s">
        <v>14</v>
      </c>
      <c r="B2660" s="8" t="s">
        <v>17</v>
      </c>
      <c r="C2660" s="9" t="str">
        <f t="shared" si="55"/>
        <v>230117</v>
      </c>
      <c r="D2660" s="9" t="str">
        <f>"230903620"</f>
        <v>230903620</v>
      </c>
      <c r="E2660" s="10">
        <v>67.55</v>
      </c>
      <c r="F2660" s="10"/>
      <c r="G2660" s="10">
        <v>68</v>
      </c>
      <c r="H2660" s="10"/>
      <c r="I2660" s="10">
        <v>67.819999999999993</v>
      </c>
    </row>
    <row r="2661" spans="1:9" ht="21.75" customHeight="1">
      <c r="A2661" s="8" t="s">
        <v>14</v>
      </c>
      <c r="B2661" s="8" t="s">
        <v>17</v>
      </c>
      <c r="C2661" s="9" t="str">
        <f t="shared" si="55"/>
        <v>230117</v>
      </c>
      <c r="D2661" s="9" t="str">
        <f>"230903623"</f>
        <v>230903623</v>
      </c>
      <c r="E2661" s="10">
        <v>68.239999999999995</v>
      </c>
      <c r="F2661" s="10"/>
      <c r="G2661" s="10">
        <v>67.5</v>
      </c>
      <c r="H2661" s="10"/>
      <c r="I2661" s="10">
        <v>67.8</v>
      </c>
    </row>
    <row r="2662" spans="1:9" s="1" customFormat="1" ht="21.75" customHeight="1">
      <c r="A2662" s="8" t="s">
        <v>14</v>
      </c>
      <c r="B2662" s="8" t="s">
        <v>17</v>
      </c>
      <c r="C2662" s="9" t="str">
        <f t="shared" si="55"/>
        <v>230117</v>
      </c>
      <c r="D2662" s="9" t="str">
        <f>"230903329"</f>
        <v>230903329</v>
      </c>
      <c r="E2662" s="10">
        <v>64.569999999999993</v>
      </c>
      <c r="F2662" s="10"/>
      <c r="G2662" s="10">
        <v>69.5</v>
      </c>
      <c r="H2662" s="10"/>
      <c r="I2662" s="10">
        <v>67.53</v>
      </c>
    </row>
    <row r="2663" spans="1:9" ht="21.75" customHeight="1">
      <c r="A2663" s="8" t="s">
        <v>14</v>
      </c>
      <c r="B2663" s="8" t="s">
        <v>17</v>
      </c>
      <c r="C2663" s="9" t="str">
        <f t="shared" si="55"/>
        <v>230117</v>
      </c>
      <c r="D2663" s="9" t="str">
        <f>"230903318"</f>
        <v>230903318</v>
      </c>
      <c r="E2663" s="10">
        <v>58.48</v>
      </c>
      <c r="F2663" s="10"/>
      <c r="G2663" s="10">
        <v>73.5</v>
      </c>
      <c r="H2663" s="10"/>
      <c r="I2663" s="10">
        <v>67.489999999999995</v>
      </c>
    </row>
    <row r="2664" spans="1:9" ht="21.75" customHeight="1">
      <c r="A2664" s="8" t="s">
        <v>14</v>
      </c>
      <c r="B2664" s="8" t="s">
        <v>17</v>
      </c>
      <c r="C2664" s="9" t="str">
        <f t="shared" si="55"/>
        <v>230117</v>
      </c>
      <c r="D2664" s="9" t="str">
        <f>"230903502"</f>
        <v>230903502</v>
      </c>
      <c r="E2664" s="10">
        <v>67.790000000000006</v>
      </c>
      <c r="F2664" s="10"/>
      <c r="G2664" s="10">
        <v>66.5</v>
      </c>
      <c r="H2664" s="10"/>
      <c r="I2664" s="10">
        <v>67.02</v>
      </c>
    </row>
    <row r="2665" spans="1:9" ht="21.75" customHeight="1">
      <c r="A2665" s="8" t="s">
        <v>14</v>
      </c>
      <c r="B2665" s="8" t="s">
        <v>17</v>
      </c>
      <c r="C2665" s="9" t="str">
        <f t="shared" si="55"/>
        <v>230117</v>
      </c>
      <c r="D2665" s="9" t="str">
        <f>"230903412"</f>
        <v>230903412</v>
      </c>
      <c r="E2665" s="10">
        <v>66.66</v>
      </c>
      <c r="F2665" s="10"/>
      <c r="G2665" s="10">
        <v>67</v>
      </c>
      <c r="H2665" s="10"/>
      <c r="I2665" s="10">
        <v>66.86</v>
      </c>
    </row>
    <row r="2666" spans="1:9" ht="21.75" customHeight="1">
      <c r="A2666" s="8" t="s">
        <v>14</v>
      </c>
      <c r="B2666" s="8" t="s">
        <v>17</v>
      </c>
      <c r="C2666" s="9" t="str">
        <f t="shared" si="55"/>
        <v>230117</v>
      </c>
      <c r="D2666" s="9" t="str">
        <f>"230903520"</f>
        <v>230903520</v>
      </c>
      <c r="E2666" s="10">
        <v>65.36</v>
      </c>
      <c r="F2666" s="10"/>
      <c r="G2666" s="10">
        <v>67.5</v>
      </c>
      <c r="H2666" s="10"/>
      <c r="I2666" s="10">
        <v>66.64</v>
      </c>
    </row>
    <row r="2667" spans="1:9" ht="21.75" customHeight="1">
      <c r="A2667" s="8" t="s">
        <v>14</v>
      </c>
      <c r="B2667" s="8" t="s">
        <v>17</v>
      </c>
      <c r="C2667" s="9" t="str">
        <f t="shared" si="55"/>
        <v>230117</v>
      </c>
      <c r="D2667" s="9" t="str">
        <f>"230903428"</f>
        <v>230903428</v>
      </c>
      <c r="E2667" s="10">
        <v>65.95</v>
      </c>
      <c r="F2667" s="10"/>
      <c r="G2667" s="10">
        <v>66.5</v>
      </c>
      <c r="H2667" s="10"/>
      <c r="I2667" s="10">
        <v>66.28</v>
      </c>
    </row>
    <row r="2668" spans="1:9" ht="21.75" customHeight="1">
      <c r="A2668" s="8" t="s">
        <v>14</v>
      </c>
      <c r="B2668" s="8" t="s">
        <v>17</v>
      </c>
      <c r="C2668" s="9" t="str">
        <f t="shared" si="55"/>
        <v>230117</v>
      </c>
      <c r="D2668" s="9" t="str">
        <f>"230903530"</f>
        <v>230903530</v>
      </c>
      <c r="E2668" s="10">
        <v>67.45</v>
      </c>
      <c r="F2668" s="10"/>
      <c r="G2668" s="10">
        <v>65.5</v>
      </c>
      <c r="H2668" s="10"/>
      <c r="I2668" s="10">
        <v>66.28</v>
      </c>
    </row>
    <row r="2669" spans="1:9" ht="21.75" customHeight="1">
      <c r="A2669" s="8" t="s">
        <v>14</v>
      </c>
      <c r="B2669" s="8" t="s">
        <v>17</v>
      </c>
      <c r="C2669" s="9" t="str">
        <f t="shared" si="55"/>
        <v>230117</v>
      </c>
      <c r="D2669" s="9" t="str">
        <f>"230903305"</f>
        <v>230903305</v>
      </c>
      <c r="E2669" s="10">
        <v>59.62</v>
      </c>
      <c r="F2669" s="10"/>
      <c r="G2669" s="10">
        <v>70</v>
      </c>
      <c r="H2669" s="10"/>
      <c r="I2669" s="10">
        <v>65.849999999999994</v>
      </c>
    </row>
    <row r="2670" spans="1:9" ht="21.75" customHeight="1">
      <c r="A2670" s="8" t="s">
        <v>14</v>
      </c>
      <c r="B2670" s="8" t="s">
        <v>17</v>
      </c>
      <c r="C2670" s="9" t="str">
        <f t="shared" si="55"/>
        <v>230117</v>
      </c>
      <c r="D2670" s="9" t="str">
        <f>"230903403"</f>
        <v>230903403</v>
      </c>
      <c r="E2670" s="10">
        <v>66.290000000000006</v>
      </c>
      <c r="F2670" s="10"/>
      <c r="G2670" s="10">
        <v>65.5</v>
      </c>
      <c r="H2670" s="10"/>
      <c r="I2670" s="10">
        <v>65.819999999999993</v>
      </c>
    </row>
    <row r="2671" spans="1:9" ht="21.75" customHeight="1">
      <c r="A2671" s="8" t="s">
        <v>14</v>
      </c>
      <c r="B2671" s="8" t="s">
        <v>17</v>
      </c>
      <c r="C2671" s="9" t="str">
        <f t="shared" si="55"/>
        <v>230117</v>
      </c>
      <c r="D2671" s="9" t="str">
        <f>"230903516"</f>
        <v>230903516</v>
      </c>
      <c r="E2671" s="10">
        <v>59.5</v>
      </c>
      <c r="F2671" s="10"/>
      <c r="G2671" s="10">
        <v>69.5</v>
      </c>
      <c r="H2671" s="10"/>
      <c r="I2671" s="10">
        <v>65.5</v>
      </c>
    </row>
    <row r="2672" spans="1:9" ht="21.75" customHeight="1">
      <c r="A2672" s="8" t="s">
        <v>14</v>
      </c>
      <c r="B2672" s="8" t="s">
        <v>17</v>
      </c>
      <c r="C2672" s="9" t="str">
        <f t="shared" si="55"/>
        <v>230117</v>
      </c>
      <c r="D2672" s="9" t="str">
        <f>"230903430"</f>
        <v>230903430</v>
      </c>
      <c r="E2672" s="10">
        <v>54.58</v>
      </c>
      <c r="F2672" s="10"/>
      <c r="G2672" s="10">
        <v>72.5</v>
      </c>
      <c r="H2672" s="10"/>
      <c r="I2672" s="10">
        <v>65.33</v>
      </c>
    </row>
    <row r="2673" spans="1:9" ht="21.75" customHeight="1">
      <c r="A2673" s="8" t="s">
        <v>14</v>
      </c>
      <c r="B2673" s="8" t="s">
        <v>17</v>
      </c>
      <c r="C2673" s="9" t="str">
        <f t="shared" si="55"/>
        <v>230117</v>
      </c>
      <c r="D2673" s="9" t="str">
        <f>"230903401"</f>
        <v>230903401</v>
      </c>
      <c r="E2673" s="10">
        <v>58.36</v>
      </c>
      <c r="F2673" s="10"/>
      <c r="G2673" s="10">
        <v>69.5</v>
      </c>
      <c r="H2673" s="10"/>
      <c r="I2673" s="10">
        <v>65.040000000000006</v>
      </c>
    </row>
    <row r="2674" spans="1:9" s="1" customFormat="1" ht="21.75" customHeight="1">
      <c r="A2674" s="8" t="s">
        <v>14</v>
      </c>
      <c r="B2674" s="8" t="s">
        <v>17</v>
      </c>
      <c r="C2674" s="9" t="str">
        <f t="shared" si="55"/>
        <v>230117</v>
      </c>
      <c r="D2674" s="9" t="str">
        <f>"230903506"</f>
        <v>230903506</v>
      </c>
      <c r="E2674" s="10">
        <v>60.21</v>
      </c>
      <c r="F2674" s="10"/>
      <c r="G2674" s="10">
        <v>67.5</v>
      </c>
      <c r="H2674" s="10"/>
      <c r="I2674" s="10">
        <v>64.58</v>
      </c>
    </row>
    <row r="2675" spans="1:9" s="1" customFormat="1" ht="21.75" customHeight="1">
      <c r="A2675" s="8" t="s">
        <v>14</v>
      </c>
      <c r="B2675" s="8" t="s">
        <v>17</v>
      </c>
      <c r="C2675" s="9" t="str">
        <f t="shared" si="55"/>
        <v>230117</v>
      </c>
      <c r="D2675" s="9" t="str">
        <f>"230903709"</f>
        <v>230903709</v>
      </c>
      <c r="E2675" s="10">
        <v>77.930000000000007</v>
      </c>
      <c r="F2675" s="10"/>
      <c r="G2675" s="10">
        <v>54</v>
      </c>
      <c r="H2675" s="10"/>
      <c r="I2675" s="10">
        <v>63.57</v>
      </c>
    </row>
    <row r="2676" spans="1:9" ht="21.75" customHeight="1">
      <c r="A2676" s="8" t="s">
        <v>14</v>
      </c>
      <c r="B2676" s="8" t="s">
        <v>17</v>
      </c>
      <c r="C2676" s="9" t="str">
        <f t="shared" si="55"/>
        <v>230117</v>
      </c>
      <c r="D2676" s="9" t="str">
        <f>"230903511"</f>
        <v>230903511</v>
      </c>
      <c r="E2676" s="10">
        <v>66.98</v>
      </c>
      <c r="F2676" s="10"/>
      <c r="G2676" s="10">
        <v>61</v>
      </c>
      <c r="H2676" s="10"/>
      <c r="I2676" s="10">
        <v>63.39</v>
      </c>
    </row>
    <row r="2677" spans="1:9" ht="21.75" customHeight="1">
      <c r="A2677" s="8" t="s">
        <v>14</v>
      </c>
      <c r="B2677" s="8" t="s">
        <v>17</v>
      </c>
      <c r="C2677" s="9" t="str">
        <f t="shared" si="55"/>
        <v>230117</v>
      </c>
      <c r="D2677" s="9" t="str">
        <f>"230903617"</f>
        <v>230903617</v>
      </c>
      <c r="E2677" s="10">
        <v>63.87</v>
      </c>
      <c r="F2677" s="10"/>
      <c r="G2677" s="10">
        <v>62</v>
      </c>
      <c r="H2677" s="10"/>
      <c r="I2677" s="10">
        <v>62.75</v>
      </c>
    </row>
    <row r="2678" spans="1:9" ht="21.75" customHeight="1">
      <c r="A2678" s="8" t="s">
        <v>14</v>
      </c>
      <c r="B2678" s="8" t="s">
        <v>17</v>
      </c>
      <c r="C2678" s="9" t="str">
        <f t="shared" si="55"/>
        <v>230117</v>
      </c>
      <c r="D2678" s="9" t="str">
        <f>"230903501"</f>
        <v>230903501</v>
      </c>
      <c r="E2678" s="10">
        <v>49.42</v>
      </c>
      <c r="F2678" s="10"/>
      <c r="G2678" s="10">
        <v>68.5</v>
      </c>
      <c r="H2678" s="10"/>
      <c r="I2678" s="10">
        <v>60.87</v>
      </c>
    </row>
    <row r="2679" spans="1:9" s="1" customFormat="1" ht="21.75" customHeight="1">
      <c r="A2679" s="8" t="s">
        <v>14</v>
      </c>
      <c r="B2679" s="8" t="s">
        <v>17</v>
      </c>
      <c r="C2679" s="9" t="str">
        <f t="shared" si="55"/>
        <v>230117</v>
      </c>
      <c r="D2679" s="9" t="str">
        <f>"230903427"</f>
        <v>230903427</v>
      </c>
      <c r="E2679" s="10">
        <v>69.75</v>
      </c>
      <c r="F2679" s="10"/>
      <c r="G2679" s="10">
        <v>54.5</v>
      </c>
      <c r="H2679" s="10"/>
      <c r="I2679" s="10">
        <v>60.6</v>
      </c>
    </row>
    <row r="2680" spans="1:9" ht="21.75" customHeight="1">
      <c r="A2680" s="8" t="s">
        <v>14</v>
      </c>
      <c r="B2680" s="8" t="s">
        <v>17</v>
      </c>
      <c r="C2680" s="9" t="str">
        <f t="shared" si="55"/>
        <v>230117</v>
      </c>
      <c r="D2680" s="9" t="str">
        <f>"230903308"</f>
        <v>230903308</v>
      </c>
      <c r="E2680" s="10">
        <v>68.489999999999995</v>
      </c>
      <c r="F2680" s="10"/>
      <c r="G2680" s="10">
        <v>54.5</v>
      </c>
      <c r="H2680" s="10"/>
      <c r="I2680" s="10">
        <v>60.1</v>
      </c>
    </row>
    <row r="2681" spans="1:9" s="1" customFormat="1" ht="21.75" customHeight="1">
      <c r="A2681" s="8" t="s">
        <v>14</v>
      </c>
      <c r="B2681" s="8" t="s">
        <v>17</v>
      </c>
      <c r="C2681" s="9" t="str">
        <f t="shared" si="55"/>
        <v>230117</v>
      </c>
      <c r="D2681" s="9" t="str">
        <f>"230903306"</f>
        <v>230903306</v>
      </c>
      <c r="E2681" s="10">
        <v>59.5</v>
      </c>
      <c r="F2681" s="10"/>
      <c r="G2681" s="10">
        <v>54.5</v>
      </c>
      <c r="H2681" s="10"/>
      <c r="I2681" s="10">
        <v>56.5</v>
      </c>
    </row>
    <row r="2682" spans="1:9" ht="21.75" customHeight="1">
      <c r="A2682" s="8" t="s">
        <v>14</v>
      </c>
      <c r="B2682" s="8" t="s">
        <v>17</v>
      </c>
      <c r="C2682" s="9" t="str">
        <f t="shared" ref="C2682:C2715" si="56">"230117"</f>
        <v>230117</v>
      </c>
      <c r="D2682" s="9" t="str">
        <f>"230903504"</f>
        <v>230903504</v>
      </c>
      <c r="E2682" s="10">
        <v>53.89</v>
      </c>
      <c r="F2682" s="10"/>
      <c r="G2682" s="10">
        <v>58</v>
      </c>
      <c r="H2682" s="10"/>
      <c r="I2682" s="10">
        <v>56.36</v>
      </c>
    </row>
    <row r="2683" spans="1:9" ht="21.75" customHeight="1">
      <c r="A2683" s="8" t="s">
        <v>14</v>
      </c>
      <c r="B2683" s="8" t="s">
        <v>17</v>
      </c>
      <c r="C2683" s="9" t="str">
        <f t="shared" si="56"/>
        <v>230117</v>
      </c>
      <c r="D2683" s="9" t="str">
        <f>"230903404"</f>
        <v>230903404</v>
      </c>
      <c r="E2683" s="10">
        <v>41.81</v>
      </c>
      <c r="F2683" s="10"/>
      <c r="G2683" s="10">
        <v>42.5</v>
      </c>
      <c r="H2683" s="10"/>
      <c r="I2683" s="10">
        <v>42.22</v>
      </c>
    </row>
    <row r="2684" spans="1:9" ht="21.75" customHeight="1">
      <c r="A2684" s="8" t="s">
        <v>14</v>
      </c>
      <c r="B2684" s="8" t="s">
        <v>17</v>
      </c>
      <c r="C2684" s="9" t="str">
        <f t="shared" si="56"/>
        <v>230117</v>
      </c>
      <c r="D2684" s="9" t="str">
        <f>"230903311"</f>
        <v>230903311</v>
      </c>
      <c r="E2684" s="10">
        <v>0</v>
      </c>
      <c r="F2684" s="10"/>
      <c r="G2684" s="10">
        <v>0</v>
      </c>
      <c r="H2684" s="10"/>
      <c r="I2684" s="10">
        <v>0</v>
      </c>
    </row>
    <row r="2685" spans="1:9" ht="21.75" customHeight="1">
      <c r="A2685" s="8" t="s">
        <v>14</v>
      </c>
      <c r="B2685" s="8" t="s">
        <v>17</v>
      </c>
      <c r="C2685" s="9" t="str">
        <f t="shared" si="56"/>
        <v>230117</v>
      </c>
      <c r="D2685" s="9" t="str">
        <f>"230903314"</f>
        <v>230903314</v>
      </c>
      <c r="E2685" s="10">
        <v>0</v>
      </c>
      <c r="F2685" s="10"/>
      <c r="G2685" s="10">
        <v>0</v>
      </c>
      <c r="H2685" s="10"/>
      <c r="I2685" s="10">
        <v>0</v>
      </c>
    </row>
    <row r="2686" spans="1:9" s="1" customFormat="1" ht="21.75" customHeight="1">
      <c r="A2686" s="8" t="s">
        <v>14</v>
      </c>
      <c r="B2686" s="8" t="s">
        <v>17</v>
      </c>
      <c r="C2686" s="9" t="str">
        <f t="shared" si="56"/>
        <v>230117</v>
      </c>
      <c r="D2686" s="9" t="str">
        <f>"230903316"</f>
        <v>230903316</v>
      </c>
      <c r="E2686" s="10">
        <v>0</v>
      </c>
      <c r="F2686" s="10"/>
      <c r="G2686" s="10">
        <v>0</v>
      </c>
      <c r="H2686" s="10"/>
      <c r="I2686" s="10">
        <v>0</v>
      </c>
    </row>
    <row r="2687" spans="1:9" s="1" customFormat="1" ht="21.75" customHeight="1">
      <c r="A2687" s="8" t="s">
        <v>14</v>
      </c>
      <c r="B2687" s="8" t="s">
        <v>17</v>
      </c>
      <c r="C2687" s="9" t="str">
        <f t="shared" si="56"/>
        <v>230117</v>
      </c>
      <c r="D2687" s="9" t="str">
        <f>"230903320"</f>
        <v>230903320</v>
      </c>
      <c r="E2687" s="10">
        <v>0</v>
      </c>
      <c r="F2687" s="10"/>
      <c r="G2687" s="10">
        <v>0</v>
      </c>
      <c r="H2687" s="10"/>
      <c r="I2687" s="10">
        <v>0</v>
      </c>
    </row>
    <row r="2688" spans="1:9" ht="21.75" customHeight="1">
      <c r="A2688" s="8" t="s">
        <v>14</v>
      </c>
      <c r="B2688" s="8" t="s">
        <v>17</v>
      </c>
      <c r="C2688" s="9" t="str">
        <f t="shared" si="56"/>
        <v>230117</v>
      </c>
      <c r="D2688" s="9" t="str">
        <f>"230903326"</f>
        <v>230903326</v>
      </c>
      <c r="E2688" s="10">
        <v>0</v>
      </c>
      <c r="F2688" s="10"/>
      <c r="G2688" s="10">
        <v>0</v>
      </c>
      <c r="H2688" s="10"/>
      <c r="I2688" s="10">
        <v>0</v>
      </c>
    </row>
    <row r="2689" spans="1:9" ht="21.75" customHeight="1">
      <c r="A2689" s="8" t="s">
        <v>14</v>
      </c>
      <c r="B2689" s="8" t="s">
        <v>17</v>
      </c>
      <c r="C2689" s="9" t="str">
        <f t="shared" si="56"/>
        <v>230117</v>
      </c>
      <c r="D2689" s="9" t="str">
        <f>"230903327"</f>
        <v>230903327</v>
      </c>
      <c r="E2689" s="10">
        <v>0</v>
      </c>
      <c r="F2689" s="10"/>
      <c r="G2689" s="10">
        <v>0</v>
      </c>
      <c r="H2689" s="10"/>
      <c r="I2689" s="10">
        <v>0</v>
      </c>
    </row>
    <row r="2690" spans="1:9" ht="21.75" customHeight="1">
      <c r="A2690" s="8" t="s">
        <v>14</v>
      </c>
      <c r="B2690" s="8" t="s">
        <v>17</v>
      </c>
      <c r="C2690" s="9" t="str">
        <f t="shared" si="56"/>
        <v>230117</v>
      </c>
      <c r="D2690" s="9" t="str">
        <f>"230903328"</f>
        <v>230903328</v>
      </c>
      <c r="E2690" s="10">
        <v>0</v>
      </c>
      <c r="F2690" s="10"/>
      <c r="G2690" s="10">
        <v>0</v>
      </c>
      <c r="H2690" s="10"/>
      <c r="I2690" s="10">
        <v>0</v>
      </c>
    </row>
    <row r="2691" spans="1:9" ht="21.75" customHeight="1">
      <c r="A2691" s="8" t="s">
        <v>14</v>
      </c>
      <c r="B2691" s="8" t="s">
        <v>17</v>
      </c>
      <c r="C2691" s="9" t="str">
        <f t="shared" si="56"/>
        <v>230117</v>
      </c>
      <c r="D2691" s="9" t="str">
        <f>"230903405"</f>
        <v>230903405</v>
      </c>
      <c r="E2691" s="10">
        <v>0</v>
      </c>
      <c r="F2691" s="10"/>
      <c r="G2691" s="10">
        <v>0</v>
      </c>
      <c r="H2691" s="10"/>
      <c r="I2691" s="10">
        <v>0</v>
      </c>
    </row>
    <row r="2692" spans="1:9" ht="21.75" customHeight="1">
      <c r="A2692" s="8" t="s">
        <v>14</v>
      </c>
      <c r="B2692" s="8" t="s">
        <v>17</v>
      </c>
      <c r="C2692" s="9" t="str">
        <f t="shared" si="56"/>
        <v>230117</v>
      </c>
      <c r="D2692" s="9" t="str">
        <f>"230903408"</f>
        <v>230903408</v>
      </c>
      <c r="E2692" s="10">
        <v>0</v>
      </c>
      <c r="F2692" s="10"/>
      <c r="G2692" s="10">
        <v>0</v>
      </c>
      <c r="H2692" s="10"/>
      <c r="I2692" s="10">
        <v>0</v>
      </c>
    </row>
    <row r="2693" spans="1:9" s="1" customFormat="1" ht="21.75" customHeight="1">
      <c r="A2693" s="8" t="s">
        <v>14</v>
      </c>
      <c r="B2693" s="8" t="s">
        <v>17</v>
      </c>
      <c r="C2693" s="9" t="str">
        <f t="shared" si="56"/>
        <v>230117</v>
      </c>
      <c r="D2693" s="9" t="str">
        <f>"230903411"</f>
        <v>230903411</v>
      </c>
      <c r="E2693" s="10">
        <v>0</v>
      </c>
      <c r="F2693" s="10"/>
      <c r="G2693" s="10">
        <v>0</v>
      </c>
      <c r="H2693" s="10"/>
      <c r="I2693" s="10">
        <v>0</v>
      </c>
    </row>
    <row r="2694" spans="1:9" ht="21.75" customHeight="1">
      <c r="A2694" s="8" t="s">
        <v>14</v>
      </c>
      <c r="B2694" s="8" t="s">
        <v>17</v>
      </c>
      <c r="C2694" s="9" t="str">
        <f t="shared" si="56"/>
        <v>230117</v>
      </c>
      <c r="D2694" s="9" t="str">
        <f>"230903414"</f>
        <v>230903414</v>
      </c>
      <c r="E2694" s="10">
        <v>0</v>
      </c>
      <c r="F2694" s="10"/>
      <c r="G2694" s="10">
        <v>0</v>
      </c>
      <c r="H2694" s="10"/>
      <c r="I2694" s="10">
        <v>0</v>
      </c>
    </row>
    <row r="2695" spans="1:9" s="1" customFormat="1" ht="21.75" customHeight="1">
      <c r="A2695" s="8" t="s">
        <v>14</v>
      </c>
      <c r="B2695" s="8" t="s">
        <v>17</v>
      </c>
      <c r="C2695" s="9" t="str">
        <f t="shared" si="56"/>
        <v>230117</v>
      </c>
      <c r="D2695" s="9" t="str">
        <f>"230903416"</f>
        <v>230903416</v>
      </c>
      <c r="E2695" s="10">
        <v>0</v>
      </c>
      <c r="F2695" s="10"/>
      <c r="G2695" s="10">
        <v>0</v>
      </c>
      <c r="H2695" s="10"/>
      <c r="I2695" s="10">
        <v>0</v>
      </c>
    </row>
    <row r="2696" spans="1:9" s="1" customFormat="1" ht="21.75" customHeight="1">
      <c r="A2696" s="8" t="s">
        <v>14</v>
      </c>
      <c r="B2696" s="8" t="s">
        <v>17</v>
      </c>
      <c r="C2696" s="9" t="str">
        <f t="shared" si="56"/>
        <v>230117</v>
      </c>
      <c r="D2696" s="9" t="str">
        <f>"230903419"</f>
        <v>230903419</v>
      </c>
      <c r="E2696" s="10">
        <v>0</v>
      </c>
      <c r="F2696" s="10"/>
      <c r="G2696" s="10">
        <v>0</v>
      </c>
      <c r="H2696" s="10"/>
      <c r="I2696" s="10">
        <v>0</v>
      </c>
    </row>
    <row r="2697" spans="1:9" s="1" customFormat="1" ht="21.75" customHeight="1">
      <c r="A2697" s="8" t="s">
        <v>14</v>
      </c>
      <c r="B2697" s="8" t="s">
        <v>17</v>
      </c>
      <c r="C2697" s="9" t="str">
        <f t="shared" si="56"/>
        <v>230117</v>
      </c>
      <c r="D2697" s="9" t="str">
        <f>"230903421"</f>
        <v>230903421</v>
      </c>
      <c r="E2697" s="10">
        <v>0</v>
      </c>
      <c r="F2697" s="10"/>
      <c r="G2697" s="10">
        <v>0</v>
      </c>
      <c r="H2697" s="10"/>
      <c r="I2697" s="10">
        <v>0</v>
      </c>
    </row>
    <row r="2698" spans="1:9" ht="21.75" customHeight="1">
      <c r="A2698" s="8" t="s">
        <v>14</v>
      </c>
      <c r="B2698" s="8" t="s">
        <v>17</v>
      </c>
      <c r="C2698" s="9" t="str">
        <f t="shared" si="56"/>
        <v>230117</v>
      </c>
      <c r="D2698" s="9" t="str">
        <f>"230903423"</f>
        <v>230903423</v>
      </c>
      <c r="E2698" s="10">
        <v>0</v>
      </c>
      <c r="F2698" s="10"/>
      <c r="G2698" s="10">
        <v>0</v>
      </c>
      <c r="H2698" s="10"/>
      <c r="I2698" s="10">
        <v>0</v>
      </c>
    </row>
    <row r="2699" spans="1:9" ht="21.75" customHeight="1">
      <c r="A2699" s="8" t="s">
        <v>14</v>
      </c>
      <c r="B2699" s="8" t="s">
        <v>17</v>
      </c>
      <c r="C2699" s="9" t="str">
        <f t="shared" si="56"/>
        <v>230117</v>
      </c>
      <c r="D2699" s="9" t="str">
        <f>"230903424"</f>
        <v>230903424</v>
      </c>
      <c r="E2699" s="10">
        <v>0</v>
      </c>
      <c r="F2699" s="10"/>
      <c r="G2699" s="10">
        <v>0</v>
      </c>
      <c r="H2699" s="10"/>
      <c r="I2699" s="10">
        <v>0</v>
      </c>
    </row>
    <row r="2700" spans="1:9" ht="21.75" customHeight="1">
      <c r="A2700" s="8" t="s">
        <v>14</v>
      </c>
      <c r="B2700" s="8" t="s">
        <v>17</v>
      </c>
      <c r="C2700" s="9" t="str">
        <f t="shared" si="56"/>
        <v>230117</v>
      </c>
      <c r="D2700" s="9" t="str">
        <f>"230903513"</f>
        <v>230903513</v>
      </c>
      <c r="E2700" s="10">
        <v>0</v>
      </c>
      <c r="F2700" s="10"/>
      <c r="G2700" s="10">
        <v>0</v>
      </c>
      <c r="H2700" s="10"/>
      <c r="I2700" s="10">
        <v>0</v>
      </c>
    </row>
    <row r="2701" spans="1:9" s="1" customFormat="1" ht="21.75" customHeight="1">
      <c r="A2701" s="8" t="s">
        <v>14</v>
      </c>
      <c r="B2701" s="8" t="s">
        <v>17</v>
      </c>
      <c r="C2701" s="9" t="str">
        <f t="shared" si="56"/>
        <v>230117</v>
      </c>
      <c r="D2701" s="9" t="str">
        <f>"230903514"</f>
        <v>230903514</v>
      </c>
      <c r="E2701" s="10">
        <v>0</v>
      </c>
      <c r="F2701" s="10"/>
      <c r="G2701" s="10">
        <v>0</v>
      </c>
      <c r="H2701" s="10"/>
      <c r="I2701" s="10">
        <v>0</v>
      </c>
    </row>
    <row r="2702" spans="1:9" ht="21.75" customHeight="1">
      <c r="A2702" s="8" t="s">
        <v>14</v>
      </c>
      <c r="B2702" s="8" t="s">
        <v>17</v>
      </c>
      <c r="C2702" s="9" t="str">
        <f t="shared" si="56"/>
        <v>230117</v>
      </c>
      <c r="D2702" s="9" t="str">
        <f>"230903526"</f>
        <v>230903526</v>
      </c>
      <c r="E2702" s="10">
        <v>0</v>
      </c>
      <c r="F2702" s="10"/>
      <c r="G2702" s="10">
        <v>0</v>
      </c>
      <c r="H2702" s="10"/>
      <c r="I2702" s="10">
        <v>0</v>
      </c>
    </row>
    <row r="2703" spans="1:9" ht="21.75" customHeight="1">
      <c r="A2703" s="8" t="s">
        <v>14</v>
      </c>
      <c r="B2703" s="8" t="s">
        <v>17</v>
      </c>
      <c r="C2703" s="9" t="str">
        <f t="shared" si="56"/>
        <v>230117</v>
      </c>
      <c r="D2703" s="9" t="str">
        <f>"230903527"</f>
        <v>230903527</v>
      </c>
      <c r="E2703" s="10">
        <v>0</v>
      </c>
      <c r="F2703" s="10"/>
      <c r="G2703" s="10">
        <v>0</v>
      </c>
      <c r="H2703" s="10"/>
      <c r="I2703" s="10">
        <v>0</v>
      </c>
    </row>
    <row r="2704" spans="1:9" s="1" customFormat="1" ht="21.75" customHeight="1">
      <c r="A2704" s="8" t="s">
        <v>14</v>
      </c>
      <c r="B2704" s="8" t="s">
        <v>17</v>
      </c>
      <c r="C2704" s="9" t="str">
        <f t="shared" si="56"/>
        <v>230117</v>
      </c>
      <c r="D2704" s="9" t="str">
        <f>"230903528"</f>
        <v>230903528</v>
      </c>
      <c r="E2704" s="10">
        <v>0</v>
      </c>
      <c r="F2704" s="10"/>
      <c r="G2704" s="10">
        <v>0</v>
      </c>
      <c r="H2704" s="10"/>
      <c r="I2704" s="10">
        <v>0</v>
      </c>
    </row>
    <row r="2705" spans="1:9" ht="21.75" customHeight="1">
      <c r="A2705" s="8" t="s">
        <v>14</v>
      </c>
      <c r="B2705" s="8" t="s">
        <v>17</v>
      </c>
      <c r="C2705" s="9" t="str">
        <f t="shared" si="56"/>
        <v>230117</v>
      </c>
      <c r="D2705" s="9" t="str">
        <f>"230903601"</f>
        <v>230903601</v>
      </c>
      <c r="E2705" s="10">
        <v>0</v>
      </c>
      <c r="F2705" s="10"/>
      <c r="G2705" s="10">
        <v>0</v>
      </c>
      <c r="H2705" s="10"/>
      <c r="I2705" s="10">
        <v>0</v>
      </c>
    </row>
    <row r="2706" spans="1:9" s="1" customFormat="1" ht="21.75" customHeight="1">
      <c r="A2706" s="8" t="s">
        <v>14</v>
      </c>
      <c r="B2706" s="8" t="s">
        <v>17</v>
      </c>
      <c r="C2706" s="9" t="str">
        <f t="shared" si="56"/>
        <v>230117</v>
      </c>
      <c r="D2706" s="9" t="str">
        <f>"230903609"</f>
        <v>230903609</v>
      </c>
      <c r="E2706" s="10">
        <v>0</v>
      </c>
      <c r="F2706" s="10"/>
      <c r="G2706" s="10">
        <v>0</v>
      </c>
      <c r="H2706" s="10"/>
      <c r="I2706" s="10">
        <v>0</v>
      </c>
    </row>
    <row r="2707" spans="1:9" ht="21.75" customHeight="1">
      <c r="A2707" s="8" t="s">
        <v>14</v>
      </c>
      <c r="B2707" s="8" t="s">
        <v>17</v>
      </c>
      <c r="C2707" s="9" t="str">
        <f t="shared" si="56"/>
        <v>230117</v>
      </c>
      <c r="D2707" s="9" t="str">
        <f>"230903615"</f>
        <v>230903615</v>
      </c>
      <c r="E2707" s="10">
        <v>0</v>
      </c>
      <c r="F2707" s="10"/>
      <c r="G2707" s="10">
        <v>0</v>
      </c>
      <c r="H2707" s="10"/>
      <c r="I2707" s="10">
        <v>0</v>
      </c>
    </row>
    <row r="2708" spans="1:9" ht="21.75" customHeight="1">
      <c r="A2708" s="8" t="s">
        <v>14</v>
      </c>
      <c r="B2708" s="8" t="s">
        <v>17</v>
      </c>
      <c r="C2708" s="9" t="str">
        <f t="shared" si="56"/>
        <v>230117</v>
      </c>
      <c r="D2708" s="9" t="str">
        <f>"230903621"</f>
        <v>230903621</v>
      </c>
      <c r="E2708" s="10">
        <v>0</v>
      </c>
      <c r="F2708" s="10"/>
      <c r="G2708" s="10">
        <v>0</v>
      </c>
      <c r="H2708" s="10"/>
      <c r="I2708" s="10">
        <v>0</v>
      </c>
    </row>
    <row r="2709" spans="1:9" ht="21.75" customHeight="1">
      <c r="A2709" s="8" t="s">
        <v>14</v>
      </c>
      <c r="B2709" s="8" t="s">
        <v>17</v>
      </c>
      <c r="C2709" s="9" t="str">
        <f t="shared" si="56"/>
        <v>230117</v>
      </c>
      <c r="D2709" s="9" t="str">
        <f>"230903622"</f>
        <v>230903622</v>
      </c>
      <c r="E2709" s="10">
        <v>0</v>
      </c>
      <c r="F2709" s="10"/>
      <c r="G2709" s="10">
        <v>0</v>
      </c>
      <c r="H2709" s="10"/>
      <c r="I2709" s="10">
        <v>0</v>
      </c>
    </row>
    <row r="2710" spans="1:9" ht="21.75" customHeight="1">
      <c r="A2710" s="8" t="s">
        <v>14</v>
      </c>
      <c r="B2710" s="8" t="s">
        <v>17</v>
      </c>
      <c r="C2710" s="9" t="str">
        <f t="shared" si="56"/>
        <v>230117</v>
      </c>
      <c r="D2710" s="9" t="str">
        <f>"230903626"</f>
        <v>230903626</v>
      </c>
      <c r="E2710" s="10">
        <v>0</v>
      </c>
      <c r="F2710" s="10"/>
      <c r="G2710" s="10">
        <v>0</v>
      </c>
      <c r="H2710" s="10"/>
      <c r="I2710" s="10">
        <v>0</v>
      </c>
    </row>
    <row r="2711" spans="1:9" ht="21.75" customHeight="1">
      <c r="A2711" s="8" t="s">
        <v>14</v>
      </c>
      <c r="B2711" s="8" t="s">
        <v>17</v>
      </c>
      <c r="C2711" s="9" t="str">
        <f t="shared" si="56"/>
        <v>230117</v>
      </c>
      <c r="D2711" s="9" t="str">
        <f>"230903627"</f>
        <v>230903627</v>
      </c>
      <c r="E2711" s="10">
        <v>0</v>
      </c>
      <c r="F2711" s="10"/>
      <c r="G2711" s="10">
        <v>0</v>
      </c>
      <c r="H2711" s="10"/>
      <c r="I2711" s="10">
        <v>0</v>
      </c>
    </row>
    <row r="2712" spans="1:9" ht="21.75" customHeight="1">
      <c r="A2712" s="8" t="s">
        <v>14</v>
      </c>
      <c r="B2712" s="8" t="s">
        <v>17</v>
      </c>
      <c r="C2712" s="9" t="str">
        <f t="shared" si="56"/>
        <v>230117</v>
      </c>
      <c r="D2712" s="9" t="str">
        <f>"230903630"</f>
        <v>230903630</v>
      </c>
      <c r="E2712" s="10">
        <v>0</v>
      </c>
      <c r="F2712" s="10"/>
      <c r="G2712" s="10">
        <v>0</v>
      </c>
      <c r="H2712" s="10"/>
      <c r="I2712" s="10">
        <v>0</v>
      </c>
    </row>
    <row r="2713" spans="1:9" ht="21.75" customHeight="1">
      <c r="A2713" s="8" t="s">
        <v>14</v>
      </c>
      <c r="B2713" s="8" t="s">
        <v>17</v>
      </c>
      <c r="C2713" s="9" t="str">
        <f t="shared" si="56"/>
        <v>230117</v>
      </c>
      <c r="D2713" s="9" t="str">
        <f>"230903702"</f>
        <v>230903702</v>
      </c>
      <c r="E2713" s="10">
        <v>0</v>
      </c>
      <c r="F2713" s="10"/>
      <c r="G2713" s="10">
        <v>0</v>
      </c>
      <c r="H2713" s="10"/>
      <c r="I2713" s="10">
        <v>0</v>
      </c>
    </row>
    <row r="2714" spans="1:9" ht="21.75" customHeight="1">
      <c r="A2714" s="8" t="s">
        <v>14</v>
      </c>
      <c r="B2714" s="8" t="s">
        <v>17</v>
      </c>
      <c r="C2714" s="9" t="str">
        <f t="shared" si="56"/>
        <v>230117</v>
      </c>
      <c r="D2714" s="9" t="str">
        <f>"230903704"</f>
        <v>230903704</v>
      </c>
      <c r="E2714" s="10">
        <v>0</v>
      </c>
      <c r="F2714" s="10"/>
      <c r="G2714" s="10">
        <v>0</v>
      </c>
      <c r="H2714" s="10"/>
      <c r="I2714" s="10">
        <v>0</v>
      </c>
    </row>
    <row r="2715" spans="1:9" ht="21.75" customHeight="1">
      <c r="A2715" s="8" t="s">
        <v>14</v>
      </c>
      <c r="B2715" s="8" t="s">
        <v>17</v>
      </c>
      <c r="C2715" s="9" t="str">
        <f t="shared" si="56"/>
        <v>230117</v>
      </c>
      <c r="D2715" s="9" t="str">
        <f>"230903710"</f>
        <v>230903710</v>
      </c>
      <c r="E2715" s="10">
        <v>0</v>
      </c>
      <c r="F2715" s="10"/>
      <c r="G2715" s="10">
        <v>0</v>
      </c>
      <c r="H2715" s="10"/>
      <c r="I2715" s="10">
        <v>0</v>
      </c>
    </row>
    <row r="2716" spans="1:9" s="2" customFormat="1" ht="21.75" customHeight="1">
      <c r="A2716" s="8" t="s">
        <v>14</v>
      </c>
      <c r="B2716" s="8" t="s">
        <v>18</v>
      </c>
      <c r="C2716" s="9" t="str">
        <f t="shared" ref="C2716:C2761" si="57">"230118"</f>
        <v>230118</v>
      </c>
      <c r="D2716" s="9" t="str">
        <f>"230903717"</f>
        <v>230903717</v>
      </c>
      <c r="E2716" s="10">
        <v>79.53</v>
      </c>
      <c r="F2716" s="10"/>
      <c r="G2716" s="10">
        <v>75.5</v>
      </c>
      <c r="H2716" s="10"/>
      <c r="I2716" s="10">
        <v>77.11</v>
      </c>
    </row>
    <row r="2717" spans="1:9" s="2" customFormat="1" ht="21.75" customHeight="1">
      <c r="A2717" s="8" t="s">
        <v>14</v>
      </c>
      <c r="B2717" s="8" t="s">
        <v>18</v>
      </c>
      <c r="C2717" s="9" t="str">
        <f t="shared" si="57"/>
        <v>230118</v>
      </c>
      <c r="D2717" s="9" t="str">
        <f>"230903719"</f>
        <v>230903719</v>
      </c>
      <c r="E2717" s="10">
        <v>74.81</v>
      </c>
      <c r="F2717" s="10"/>
      <c r="G2717" s="10">
        <v>75.5</v>
      </c>
      <c r="H2717" s="10"/>
      <c r="I2717" s="10">
        <v>75.22</v>
      </c>
    </row>
    <row r="2718" spans="1:9" s="2" customFormat="1" ht="21.75" customHeight="1">
      <c r="A2718" s="8" t="s">
        <v>14</v>
      </c>
      <c r="B2718" s="8" t="s">
        <v>18</v>
      </c>
      <c r="C2718" s="9" t="str">
        <f t="shared" si="57"/>
        <v>230118</v>
      </c>
      <c r="D2718" s="9" t="str">
        <f>"230903811"</f>
        <v>230903811</v>
      </c>
      <c r="E2718" s="10">
        <v>82.05</v>
      </c>
      <c r="F2718" s="10"/>
      <c r="G2718" s="10">
        <v>70</v>
      </c>
      <c r="H2718" s="10"/>
      <c r="I2718" s="10">
        <v>74.819999999999993</v>
      </c>
    </row>
    <row r="2719" spans="1:9" s="2" customFormat="1" ht="21.75" customHeight="1">
      <c r="A2719" s="8" t="s">
        <v>14</v>
      </c>
      <c r="B2719" s="8" t="s">
        <v>18</v>
      </c>
      <c r="C2719" s="9" t="str">
        <f t="shared" si="57"/>
        <v>230118</v>
      </c>
      <c r="D2719" s="9" t="str">
        <f>"230903724"</f>
        <v>230903724</v>
      </c>
      <c r="E2719" s="10">
        <v>73.77</v>
      </c>
      <c r="F2719" s="10"/>
      <c r="G2719" s="10">
        <v>74.5</v>
      </c>
      <c r="H2719" s="10"/>
      <c r="I2719" s="10">
        <v>74.209999999999994</v>
      </c>
    </row>
    <row r="2720" spans="1:9" s="2" customFormat="1" ht="21.75" customHeight="1">
      <c r="A2720" s="8" t="s">
        <v>14</v>
      </c>
      <c r="B2720" s="8" t="s">
        <v>18</v>
      </c>
      <c r="C2720" s="9" t="str">
        <f t="shared" si="57"/>
        <v>230118</v>
      </c>
      <c r="D2720" s="9" t="str">
        <f>"230903821"</f>
        <v>230903821</v>
      </c>
      <c r="E2720" s="10">
        <v>75.150000000000006</v>
      </c>
      <c r="F2720" s="10"/>
      <c r="G2720" s="10">
        <v>73</v>
      </c>
      <c r="H2720" s="10"/>
      <c r="I2720" s="10">
        <v>73.86</v>
      </c>
    </row>
    <row r="2721" spans="1:9" s="3" customFormat="1" ht="21.75" customHeight="1">
      <c r="A2721" s="8" t="s">
        <v>14</v>
      </c>
      <c r="B2721" s="8" t="s">
        <v>18</v>
      </c>
      <c r="C2721" s="9" t="str">
        <f t="shared" si="57"/>
        <v>230118</v>
      </c>
      <c r="D2721" s="9" t="str">
        <f>"230903823"</f>
        <v>230903823</v>
      </c>
      <c r="E2721" s="10">
        <v>67.33</v>
      </c>
      <c r="F2721" s="10"/>
      <c r="G2721" s="10">
        <v>77.5</v>
      </c>
      <c r="H2721" s="10"/>
      <c r="I2721" s="10">
        <v>73.430000000000007</v>
      </c>
    </row>
    <row r="2722" spans="1:9" s="2" customFormat="1" ht="21.75" customHeight="1">
      <c r="A2722" s="8" t="s">
        <v>14</v>
      </c>
      <c r="B2722" s="8" t="s">
        <v>18</v>
      </c>
      <c r="C2722" s="9" t="str">
        <f t="shared" si="57"/>
        <v>230118</v>
      </c>
      <c r="D2722" s="9" t="str">
        <f>"230903803"</f>
        <v>230903803</v>
      </c>
      <c r="E2722" s="10">
        <v>74.02</v>
      </c>
      <c r="F2722" s="10"/>
      <c r="G2722" s="10">
        <v>73</v>
      </c>
      <c r="H2722" s="10"/>
      <c r="I2722" s="10">
        <v>73.41</v>
      </c>
    </row>
    <row r="2723" spans="1:9" s="2" customFormat="1" ht="21.75" customHeight="1">
      <c r="A2723" s="8" t="s">
        <v>14</v>
      </c>
      <c r="B2723" s="8" t="s">
        <v>18</v>
      </c>
      <c r="C2723" s="9" t="str">
        <f t="shared" si="57"/>
        <v>230118</v>
      </c>
      <c r="D2723" s="9" t="str">
        <f>"230903812"</f>
        <v>230903812</v>
      </c>
      <c r="E2723" s="10">
        <v>70.2</v>
      </c>
      <c r="F2723" s="10"/>
      <c r="G2723" s="10">
        <v>75.5</v>
      </c>
      <c r="H2723" s="10"/>
      <c r="I2723" s="10">
        <v>73.38</v>
      </c>
    </row>
    <row r="2724" spans="1:9" s="2" customFormat="1" ht="21.75" customHeight="1">
      <c r="A2724" s="8" t="s">
        <v>14</v>
      </c>
      <c r="B2724" s="8" t="s">
        <v>18</v>
      </c>
      <c r="C2724" s="9" t="str">
        <f t="shared" si="57"/>
        <v>230118</v>
      </c>
      <c r="D2724" s="9" t="str">
        <f>"230903822"</f>
        <v>230903822</v>
      </c>
      <c r="E2724" s="10">
        <v>72.38</v>
      </c>
      <c r="F2724" s="10"/>
      <c r="G2724" s="10">
        <v>74</v>
      </c>
      <c r="H2724" s="10"/>
      <c r="I2724" s="10">
        <v>73.349999999999994</v>
      </c>
    </row>
    <row r="2725" spans="1:9" s="2" customFormat="1" ht="21.75" customHeight="1">
      <c r="A2725" s="8" t="s">
        <v>14</v>
      </c>
      <c r="B2725" s="8" t="s">
        <v>18</v>
      </c>
      <c r="C2725" s="9" t="str">
        <f t="shared" si="57"/>
        <v>230118</v>
      </c>
      <c r="D2725" s="9" t="str">
        <f>"230903730"</f>
        <v>230903730</v>
      </c>
      <c r="E2725" s="10">
        <v>78.48</v>
      </c>
      <c r="F2725" s="10"/>
      <c r="G2725" s="10">
        <v>69.5</v>
      </c>
      <c r="H2725" s="10"/>
      <c r="I2725" s="10">
        <v>73.09</v>
      </c>
    </row>
    <row r="2726" spans="1:9" s="2" customFormat="1" ht="21.75" customHeight="1">
      <c r="A2726" s="8" t="s">
        <v>14</v>
      </c>
      <c r="B2726" s="8" t="s">
        <v>18</v>
      </c>
      <c r="C2726" s="9" t="str">
        <f t="shared" si="57"/>
        <v>230118</v>
      </c>
      <c r="D2726" s="9" t="str">
        <f>"230903820"</f>
        <v>230903820</v>
      </c>
      <c r="E2726" s="10">
        <v>72.39</v>
      </c>
      <c r="F2726" s="10"/>
      <c r="G2726" s="10">
        <v>73</v>
      </c>
      <c r="H2726" s="10"/>
      <c r="I2726" s="10">
        <v>72.760000000000005</v>
      </c>
    </row>
    <row r="2727" spans="1:9" s="3" customFormat="1" ht="21.75" customHeight="1">
      <c r="A2727" s="8" t="s">
        <v>14</v>
      </c>
      <c r="B2727" s="8" t="s">
        <v>18</v>
      </c>
      <c r="C2727" s="9" t="str">
        <f t="shared" si="57"/>
        <v>230118</v>
      </c>
      <c r="D2727" s="9" t="str">
        <f>"230903813"</f>
        <v>230903813</v>
      </c>
      <c r="E2727" s="10">
        <v>70.989999999999995</v>
      </c>
      <c r="F2727" s="10"/>
      <c r="G2727" s="10">
        <v>73.5</v>
      </c>
      <c r="H2727" s="10"/>
      <c r="I2727" s="10">
        <v>72.5</v>
      </c>
    </row>
    <row r="2728" spans="1:9" s="2" customFormat="1" ht="21.75" customHeight="1">
      <c r="A2728" s="8" t="s">
        <v>14</v>
      </c>
      <c r="B2728" s="8" t="s">
        <v>18</v>
      </c>
      <c r="C2728" s="9" t="str">
        <f t="shared" si="57"/>
        <v>230118</v>
      </c>
      <c r="D2728" s="9" t="str">
        <f>"230903801"</f>
        <v>230903801</v>
      </c>
      <c r="E2728" s="10">
        <v>66.989999999999995</v>
      </c>
      <c r="F2728" s="10"/>
      <c r="G2728" s="10">
        <v>75.5</v>
      </c>
      <c r="H2728" s="10"/>
      <c r="I2728" s="10">
        <v>72.099999999999994</v>
      </c>
    </row>
    <row r="2729" spans="1:9" s="2" customFormat="1" ht="21.75" customHeight="1">
      <c r="A2729" s="8" t="s">
        <v>14</v>
      </c>
      <c r="B2729" s="8" t="s">
        <v>18</v>
      </c>
      <c r="C2729" s="9" t="str">
        <f t="shared" si="57"/>
        <v>230118</v>
      </c>
      <c r="D2729" s="9" t="str">
        <f>"230903808"</f>
        <v>230903808</v>
      </c>
      <c r="E2729" s="10">
        <v>66.64</v>
      </c>
      <c r="F2729" s="10"/>
      <c r="G2729" s="10">
        <v>75.5</v>
      </c>
      <c r="H2729" s="10"/>
      <c r="I2729" s="10">
        <v>71.959999999999994</v>
      </c>
    </row>
    <row r="2730" spans="1:9" s="3" customFormat="1" ht="21.75" customHeight="1">
      <c r="A2730" s="8" t="s">
        <v>14</v>
      </c>
      <c r="B2730" s="8" t="s">
        <v>18</v>
      </c>
      <c r="C2730" s="9" t="str">
        <f t="shared" si="57"/>
        <v>230118</v>
      </c>
      <c r="D2730" s="9" t="str">
        <f>"230903818"</f>
        <v>230903818</v>
      </c>
      <c r="E2730" s="10">
        <v>71.03</v>
      </c>
      <c r="F2730" s="10"/>
      <c r="G2730" s="10">
        <v>72</v>
      </c>
      <c r="H2730" s="10"/>
      <c r="I2730" s="10">
        <v>71.61</v>
      </c>
    </row>
    <row r="2731" spans="1:9" s="2" customFormat="1" ht="21.75" customHeight="1">
      <c r="A2731" s="8" t="s">
        <v>14</v>
      </c>
      <c r="B2731" s="8" t="s">
        <v>18</v>
      </c>
      <c r="C2731" s="9" t="str">
        <f t="shared" si="57"/>
        <v>230118</v>
      </c>
      <c r="D2731" s="9" t="str">
        <f>"230903819"</f>
        <v>230903819</v>
      </c>
      <c r="E2731" s="10">
        <v>79.400000000000006</v>
      </c>
      <c r="F2731" s="10"/>
      <c r="G2731" s="10">
        <v>66</v>
      </c>
      <c r="H2731" s="10"/>
      <c r="I2731" s="10">
        <v>71.36</v>
      </c>
    </row>
    <row r="2732" spans="1:9" s="3" customFormat="1" ht="21.75" customHeight="1">
      <c r="A2732" s="8" t="s">
        <v>14</v>
      </c>
      <c r="B2732" s="8" t="s">
        <v>18</v>
      </c>
      <c r="C2732" s="9" t="str">
        <f t="shared" si="57"/>
        <v>230118</v>
      </c>
      <c r="D2732" s="9" t="str">
        <f>"230903809"</f>
        <v>230903809</v>
      </c>
      <c r="E2732" s="10">
        <v>69.290000000000006</v>
      </c>
      <c r="F2732" s="10"/>
      <c r="G2732" s="10">
        <v>72</v>
      </c>
      <c r="H2732" s="10"/>
      <c r="I2732" s="10">
        <v>70.92</v>
      </c>
    </row>
    <row r="2733" spans="1:9" s="3" customFormat="1" ht="21.75" customHeight="1">
      <c r="A2733" s="8" t="s">
        <v>14</v>
      </c>
      <c r="B2733" s="8" t="s">
        <v>18</v>
      </c>
      <c r="C2733" s="9" t="str">
        <f t="shared" si="57"/>
        <v>230118</v>
      </c>
      <c r="D2733" s="9" t="str">
        <f>"230903721"</f>
        <v>230903721</v>
      </c>
      <c r="E2733" s="10">
        <v>74.81</v>
      </c>
      <c r="F2733" s="10"/>
      <c r="G2733" s="10">
        <v>67.5</v>
      </c>
      <c r="H2733" s="10"/>
      <c r="I2733" s="10">
        <v>70.42</v>
      </c>
    </row>
    <row r="2734" spans="1:9" s="2" customFormat="1" ht="21.75" customHeight="1">
      <c r="A2734" s="8" t="s">
        <v>14</v>
      </c>
      <c r="B2734" s="8" t="s">
        <v>18</v>
      </c>
      <c r="C2734" s="9" t="str">
        <f t="shared" si="57"/>
        <v>230118</v>
      </c>
      <c r="D2734" s="9" t="str">
        <f>"230903729"</f>
        <v>230903729</v>
      </c>
      <c r="E2734" s="10">
        <v>68.48</v>
      </c>
      <c r="F2734" s="10"/>
      <c r="G2734" s="10">
        <v>71.5</v>
      </c>
      <c r="H2734" s="10"/>
      <c r="I2734" s="10">
        <v>70.290000000000006</v>
      </c>
    </row>
    <row r="2735" spans="1:9" s="2" customFormat="1" ht="21.75" customHeight="1">
      <c r="A2735" s="8" t="s">
        <v>14</v>
      </c>
      <c r="B2735" s="8" t="s">
        <v>18</v>
      </c>
      <c r="C2735" s="9" t="str">
        <f t="shared" si="57"/>
        <v>230118</v>
      </c>
      <c r="D2735" s="9" t="str">
        <f>"230903720"</f>
        <v>230903720</v>
      </c>
      <c r="E2735" s="10">
        <v>71.819999999999993</v>
      </c>
      <c r="F2735" s="10"/>
      <c r="G2735" s="10">
        <v>68.5</v>
      </c>
      <c r="H2735" s="10"/>
      <c r="I2735" s="10">
        <v>69.83</v>
      </c>
    </row>
    <row r="2736" spans="1:9" s="3" customFormat="1" ht="21.75" customHeight="1">
      <c r="A2736" s="8" t="s">
        <v>14</v>
      </c>
      <c r="B2736" s="8" t="s">
        <v>18</v>
      </c>
      <c r="C2736" s="9" t="str">
        <f t="shared" si="57"/>
        <v>230118</v>
      </c>
      <c r="D2736" s="9" t="str">
        <f>"230903728"</f>
        <v>230903728</v>
      </c>
      <c r="E2736" s="10">
        <v>62.96</v>
      </c>
      <c r="F2736" s="10"/>
      <c r="G2736" s="10">
        <v>73.5</v>
      </c>
      <c r="H2736" s="10"/>
      <c r="I2736" s="10">
        <v>69.28</v>
      </c>
    </row>
    <row r="2737" spans="1:9" s="2" customFormat="1" ht="21.75" customHeight="1">
      <c r="A2737" s="8" t="s">
        <v>14</v>
      </c>
      <c r="B2737" s="8" t="s">
        <v>18</v>
      </c>
      <c r="C2737" s="9" t="str">
        <f t="shared" si="57"/>
        <v>230118</v>
      </c>
      <c r="D2737" s="9" t="str">
        <f>"230903713"</f>
        <v>230903713</v>
      </c>
      <c r="E2737" s="10">
        <v>61.23</v>
      </c>
      <c r="F2737" s="10"/>
      <c r="G2737" s="10">
        <v>74</v>
      </c>
      <c r="H2737" s="10"/>
      <c r="I2737" s="10">
        <v>68.89</v>
      </c>
    </row>
    <row r="2738" spans="1:9" s="2" customFormat="1" ht="21.75" customHeight="1">
      <c r="A2738" s="8" t="s">
        <v>14</v>
      </c>
      <c r="B2738" s="8" t="s">
        <v>18</v>
      </c>
      <c r="C2738" s="9" t="str">
        <f t="shared" si="57"/>
        <v>230118</v>
      </c>
      <c r="D2738" s="9" t="str">
        <f>"230903718"</f>
        <v>230903718</v>
      </c>
      <c r="E2738" s="10">
        <v>59.65</v>
      </c>
      <c r="F2738" s="10"/>
      <c r="G2738" s="10">
        <v>75</v>
      </c>
      <c r="H2738" s="10"/>
      <c r="I2738" s="10">
        <v>68.86</v>
      </c>
    </row>
    <row r="2739" spans="1:9" s="2" customFormat="1" ht="21.75" customHeight="1">
      <c r="A2739" s="8" t="s">
        <v>14</v>
      </c>
      <c r="B2739" s="8" t="s">
        <v>18</v>
      </c>
      <c r="C2739" s="9" t="str">
        <f t="shared" si="57"/>
        <v>230118</v>
      </c>
      <c r="D2739" s="9" t="str">
        <f>"230903715"</f>
        <v>230903715</v>
      </c>
      <c r="E2739" s="10">
        <v>73.67</v>
      </c>
      <c r="F2739" s="10"/>
      <c r="G2739" s="10">
        <v>64.5</v>
      </c>
      <c r="H2739" s="10"/>
      <c r="I2739" s="10">
        <v>68.17</v>
      </c>
    </row>
    <row r="2740" spans="1:9" s="3" customFormat="1" ht="21.75" customHeight="1">
      <c r="A2740" s="8" t="s">
        <v>14</v>
      </c>
      <c r="B2740" s="8" t="s">
        <v>18</v>
      </c>
      <c r="C2740" s="9" t="str">
        <f t="shared" si="57"/>
        <v>230118</v>
      </c>
      <c r="D2740" s="9" t="str">
        <f>"230903806"</f>
        <v>230903806</v>
      </c>
      <c r="E2740" s="10">
        <v>60.9</v>
      </c>
      <c r="F2740" s="10"/>
      <c r="G2740" s="10">
        <v>73</v>
      </c>
      <c r="H2740" s="10"/>
      <c r="I2740" s="10">
        <v>68.16</v>
      </c>
    </row>
    <row r="2741" spans="1:9" s="2" customFormat="1" ht="21.75" customHeight="1">
      <c r="A2741" s="8" t="s">
        <v>14</v>
      </c>
      <c r="B2741" s="8" t="s">
        <v>18</v>
      </c>
      <c r="C2741" s="9" t="str">
        <f t="shared" si="57"/>
        <v>230118</v>
      </c>
      <c r="D2741" s="9" t="str">
        <f>"230903815"</f>
        <v>230903815</v>
      </c>
      <c r="E2741" s="10">
        <v>62.38</v>
      </c>
      <c r="F2741" s="10"/>
      <c r="G2741" s="10">
        <v>71.5</v>
      </c>
      <c r="H2741" s="10"/>
      <c r="I2741" s="10">
        <v>67.849999999999994</v>
      </c>
    </row>
    <row r="2742" spans="1:9" s="3" customFormat="1" ht="21.75" customHeight="1">
      <c r="A2742" s="8" t="s">
        <v>14</v>
      </c>
      <c r="B2742" s="8" t="s">
        <v>18</v>
      </c>
      <c r="C2742" s="9" t="str">
        <f t="shared" si="57"/>
        <v>230118</v>
      </c>
      <c r="D2742" s="9" t="str">
        <f>"230903727"</f>
        <v>230903727</v>
      </c>
      <c r="E2742" s="10">
        <v>55.36</v>
      </c>
      <c r="F2742" s="10"/>
      <c r="G2742" s="10">
        <v>74.5</v>
      </c>
      <c r="H2742" s="10"/>
      <c r="I2742" s="10">
        <v>66.84</v>
      </c>
    </row>
    <row r="2743" spans="1:9" s="2" customFormat="1" ht="21.75" customHeight="1">
      <c r="A2743" s="8" t="s">
        <v>14</v>
      </c>
      <c r="B2743" s="8" t="s">
        <v>18</v>
      </c>
      <c r="C2743" s="9" t="str">
        <f t="shared" si="57"/>
        <v>230118</v>
      </c>
      <c r="D2743" s="9" t="str">
        <f>"230903805"</f>
        <v>230903805</v>
      </c>
      <c r="E2743" s="10">
        <v>58.83</v>
      </c>
      <c r="F2743" s="10"/>
      <c r="G2743" s="10">
        <v>69</v>
      </c>
      <c r="H2743" s="10"/>
      <c r="I2743" s="10">
        <v>64.930000000000007</v>
      </c>
    </row>
    <row r="2744" spans="1:9" s="3" customFormat="1" ht="21.75" customHeight="1">
      <c r="A2744" s="8" t="s">
        <v>14</v>
      </c>
      <c r="B2744" s="8" t="s">
        <v>18</v>
      </c>
      <c r="C2744" s="9" t="str">
        <f t="shared" si="57"/>
        <v>230118</v>
      </c>
      <c r="D2744" s="9" t="str">
        <f>"230903826"</f>
        <v>230903826</v>
      </c>
      <c r="E2744" s="10">
        <v>60.54</v>
      </c>
      <c r="F2744" s="10"/>
      <c r="G2744" s="10">
        <v>67.5</v>
      </c>
      <c r="H2744" s="10"/>
      <c r="I2744" s="10">
        <v>64.72</v>
      </c>
    </row>
    <row r="2745" spans="1:9" s="3" customFormat="1" ht="21.75" customHeight="1">
      <c r="A2745" s="8" t="s">
        <v>14</v>
      </c>
      <c r="B2745" s="8" t="s">
        <v>18</v>
      </c>
      <c r="C2745" s="9" t="str">
        <f t="shared" si="57"/>
        <v>230118</v>
      </c>
      <c r="D2745" s="9" t="str">
        <f>"230903816"</f>
        <v>230903816</v>
      </c>
      <c r="E2745" s="10">
        <v>61.59</v>
      </c>
      <c r="F2745" s="10"/>
      <c r="G2745" s="10">
        <v>66</v>
      </c>
      <c r="H2745" s="10"/>
      <c r="I2745" s="10">
        <v>64.239999999999995</v>
      </c>
    </row>
    <row r="2746" spans="1:9" s="2" customFormat="1" ht="21.75" customHeight="1">
      <c r="A2746" s="8" t="s">
        <v>14</v>
      </c>
      <c r="B2746" s="8" t="s">
        <v>18</v>
      </c>
      <c r="C2746" s="9" t="str">
        <f t="shared" si="57"/>
        <v>230118</v>
      </c>
      <c r="D2746" s="9" t="str">
        <f>"230903814"</f>
        <v>230903814</v>
      </c>
      <c r="E2746" s="10">
        <v>62.97</v>
      </c>
      <c r="F2746" s="10"/>
      <c r="G2746" s="10">
        <v>65</v>
      </c>
      <c r="H2746" s="10"/>
      <c r="I2746" s="10">
        <v>64.19</v>
      </c>
    </row>
    <row r="2747" spans="1:9" s="2" customFormat="1" ht="21.75" customHeight="1">
      <c r="A2747" s="8" t="s">
        <v>14</v>
      </c>
      <c r="B2747" s="8" t="s">
        <v>18</v>
      </c>
      <c r="C2747" s="9" t="str">
        <f t="shared" si="57"/>
        <v>230118</v>
      </c>
      <c r="D2747" s="9" t="str">
        <f>"230903712"</f>
        <v>230903712</v>
      </c>
      <c r="E2747" s="10">
        <v>60.2</v>
      </c>
      <c r="F2747" s="10"/>
      <c r="G2747" s="10">
        <v>64.5</v>
      </c>
      <c r="H2747" s="10"/>
      <c r="I2747" s="10">
        <v>62.78</v>
      </c>
    </row>
    <row r="2748" spans="1:9" s="3" customFormat="1" ht="21.75" customHeight="1">
      <c r="A2748" s="8" t="s">
        <v>14</v>
      </c>
      <c r="B2748" s="8" t="s">
        <v>18</v>
      </c>
      <c r="C2748" s="9" t="str">
        <f t="shared" si="57"/>
        <v>230118</v>
      </c>
      <c r="D2748" s="9" t="str">
        <f>"230903723"</f>
        <v>230903723</v>
      </c>
      <c r="E2748" s="10">
        <v>56.99</v>
      </c>
      <c r="F2748" s="10"/>
      <c r="G2748" s="10">
        <v>66.5</v>
      </c>
      <c r="H2748" s="10"/>
      <c r="I2748" s="10">
        <v>62.7</v>
      </c>
    </row>
    <row r="2749" spans="1:9" s="2" customFormat="1" ht="21.75" customHeight="1">
      <c r="A2749" s="8" t="s">
        <v>14</v>
      </c>
      <c r="B2749" s="8" t="s">
        <v>18</v>
      </c>
      <c r="C2749" s="9" t="str">
        <f t="shared" si="57"/>
        <v>230118</v>
      </c>
      <c r="D2749" s="9" t="str">
        <f>"230903804"</f>
        <v>230903804</v>
      </c>
      <c r="E2749" s="10">
        <v>55.17</v>
      </c>
      <c r="F2749" s="10"/>
      <c r="G2749" s="10">
        <v>66.5</v>
      </c>
      <c r="H2749" s="10"/>
      <c r="I2749" s="10">
        <v>61.97</v>
      </c>
    </row>
    <row r="2750" spans="1:9" s="3" customFormat="1" ht="21.75" customHeight="1">
      <c r="A2750" s="8" t="s">
        <v>14</v>
      </c>
      <c r="B2750" s="8" t="s">
        <v>18</v>
      </c>
      <c r="C2750" s="9" t="str">
        <f t="shared" si="57"/>
        <v>230118</v>
      </c>
      <c r="D2750" s="9" t="str">
        <f>"230903726"</f>
        <v>230903726</v>
      </c>
      <c r="E2750" s="10">
        <v>58.49</v>
      </c>
      <c r="F2750" s="10"/>
      <c r="G2750" s="10">
        <v>45</v>
      </c>
      <c r="H2750" s="10"/>
      <c r="I2750" s="10">
        <v>50.4</v>
      </c>
    </row>
    <row r="2751" spans="1:9" s="2" customFormat="1" ht="21.75" customHeight="1">
      <c r="A2751" s="8" t="s">
        <v>14</v>
      </c>
      <c r="B2751" s="8" t="s">
        <v>18</v>
      </c>
      <c r="C2751" s="9" t="str">
        <f t="shared" si="57"/>
        <v>230118</v>
      </c>
      <c r="D2751" s="9" t="str">
        <f>"230903714"</f>
        <v>230903714</v>
      </c>
      <c r="E2751" s="10">
        <v>0</v>
      </c>
      <c r="F2751" s="10"/>
      <c r="G2751" s="10">
        <v>0</v>
      </c>
      <c r="H2751" s="10"/>
      <c r="I2751" s="10">
        <v>0</v>
      </c>
    </row>
    <row r="2752" spans="1:9" s="3" customFormat="1" ht="21.75" customHeight="1">
      <c r="A2752" s="8" t="s">
        <v>14</v>
      </c>
      <c r="B2752" s="8" t="s">
        <v>18</v>
      </c>
      <c r="C2752" s="9" t="str">
        <f t="shared" si="57"/>
        <v>230118</v>
      </c>
      <c r="D2752" s="9" t="str">
        <f>"230903716"</f>
        <v>230903716</v>
      </c>
      <c r="E2752" s="10">
        <v>0</v>
      </c>
      <c r="F2752" s="10"/>
      <c r="G2752" s="10">
        <v>0</v>
      </c>
      <c r="H2752" s="10"/>
      <c r="I2752" s="10">
        <v>0</v>
      </c>
    </row>
    <row r="2753" spans="1:9" s="3" customFormat="1" ht="21.75" customHeight="1">
      <c r="A2753" s="8" t="s">
        <v>14</v>
      </c>
      <c r="B2753" s="8" t="s">
        <v>18</v>
      </c>
      <c r="C2753" s="9" t="str">
        <f t="shared" si="57"/>
        <v>230118</v>
      </c>
      <c r="D2753" s="9" t="str">
        <f>"230903722"</f>
        <v>230903722</v>
      </c>
      <c r="E2753" s="10">
        <v>0</v>
      </c>
      <c r="F2753" s="10"/>
      <c r="G2753" s="10">
        <v>0</v>
      </c>
      <c r="H2753" s="10"/>
      <c r="I2753" s="10">
        <v>0</v>
      </c>
    </row>
    <row r="2754" spans="1:9" s="2" customFormat="1" ht="21.75" customHeight="1">
      <c r="A2754" s="8" t="s">
        <v>14</v>
      </c>
      <c r="B2754" s="8" t="s">
        <v>18</v>
      </c>
      <c r="C2754" s="9" t="str">
        <f t="shared" si="57"/>
        <v>230118</v>
      </c>
      <c r="D2754" s="9" t="str">
        <f>"230903725"</f>
        <v>230903725</v>
      </c>
      <c r="E2754" s="10">
        <v>0</v>
      </c>
      <c r="F2754" s="10"/>
      <c r="G2754" s="10">
        <v>0</v>
      </c>
      <c r="H2754" s="10"/>
      <c r="I2754" s="10">
        <v>0</v>
      </c>
    </row>
    <row r="2755" spans="1:9" s="2" customFormat="1" ht="21.75" customHeight="1">
      <c r="A2755" s="8" t="s">
        <v>14</v>
      </c>
      <c r="B2755" s="8" t="s">
        <v>18</v>
      </c>
      <c r="C2755" s="9" t="str">
        <f t="shared" si="57"/>
        <v>230118</v>
      </c>
      <c r="D2755" s="9" t="str">
        <f>"230903802"</f>
        <v>230903802</v>
      </c>
      <c r="E2755" s="10">
        <v>0</v>
      </c>
      <c r="F2755" s="10"/>
      <c r="G2755" s="10">
        <v>0</v>
      </c>
      <c r="H2755" s="10"/>
      <c r="I2755" s="10">
        <v>0</v>
      </c>
    </row>
    <row r="2756" spans="1:9" s="2" customFormat="1" ht="21.75" customHeight="1">
      <c r="A2756" s="8" t="s">
        <v>14</v>
      </c>
      <c r="B2756" s="8" t="s">
        <v>18</v>
      </c>
      <c r="C2756" s="9" t="str">
        <f t="shared" si="57"/>
        <v>230118</v>
      </c>
      <c r="D2756" s="9" t="str">
        <f>"230903807"</f>
        <v>230903807</v>
      </c>
      <c r="E2756" s="10">
        <v>0</v>
      </c>
      <c r="F2756" s="10"/>
      <c r="G2756" s="10">
        <v>0</v>
      </c>
      <c r="H2756" s="10"/>
      <c r="I2756" s="10">
        <v>0</v>
      </c>
    </row>
    <row r="2757" spans="1:9" s="3" customFormat="1" ht="21.75" customHeight="1">
      <c r="A2757" s="8" t="s">
        <v>14</v>
      </c>
      <c r="B2757" s="8" t="s">
        <v>18</v>
      </c>
      <c r="C2757" s="9" t="str">
        <f t="shared" si="57"/>
        <v>230118</v>
      </c>
      <c r="D2757" s="9" t="str">
        <f>"230903810"</f>
        <v>230903810</v>
      </c>
      <c r="E2757" s="10">
        <v>0</v>
      </c>
      <c r="F2757" s="10"/>
      <c r="G2757" s="10">
        <v>0</v>
      </c>
      <c r="H2757" s="10"/>
      <c r="I2757" s="10">
        <v>0</v>
      </c>
    </row>
    <row r="2758" spans="1:9" s="3" customFormat="1" ht="21.75" customHeight="1">
      <c r="A2758" s="8" t="s">
        <v>14</v>
      </c>
      <c r="B2758" s="8" t="s">
        <v>18</v>
      </c>
      <c r="C2758" s="9" t="str">
        <f t="shared" si="57"/>
        <v>230118</v>
      </c>
      <c r="D2758" s="9" t="str">
        <f>"230903817"</f>
        <v>230903817</v>
      </c>
      <c r="E2758" s="10">
        <v>0</v>
      </c>
      <c r="F2758" s="10"/>
      <c r="G2758" s="10">
        <v>0</v>
      </c>
      <c r="H2758" s="10"/>
      <c r="I2758" s="10">
        <v>0</v>
      </c>
    </row>
    <row r="2759" spans="1:9" s="2" customFormat="1" ht="21.75" customHeight="1">
      <c r="A2759" s="8" t="s">
        <v>14</v>
      </c>
      <c r="B2759" s="8" t="s">
        <v>18</v>
      </c>
      <c r="C2759" s="9" t="str">
        <f t="shared" si="57"/>
        <v>230118</v>
      </c>
      <c r="D2759" s="9" t="str">
        <f>"230903824"</f>
        <v>230903824</v>
      </c>
      <c r="E2759" s="10">
        <v>0</v>
      </c>
      <c r="F2759" s="10"/>
      <c r="G2759" s="10">
        <v>0</v>
      </c>
      <c r="H2759" s="10"/>
      <c r="I2759" s="10">
        <v>0</v>
      </c>
    </row>
    <row r="2760" spans="1:9" s="3" customFormat="1" ht="21.75" customHeight="1">
      <c r="A2760" s="8" t="s">
        <v>14</v>
      </c>
      <c r="B2760" s="8" t="s">
        <v>18</v>
      </c>
      <c r="C2760" s="9" t="str">
        <f t="shared" si="57"/>
        <v>230118</v>
      </c>
      <c r="D2760" s="9" t="str">
        <f>"230903825"</f>
        <v>230903825</v>
      </c>
      <c r="E2760" s="10">
        <v>0</v>
      </c>
      <c r="F2760" s="10"/>
      <c r="G2760" s="10">
        <v>0</v>
      </c>
      <c r="H2760" s="10"/>
      <c r="I2760" s="10">
        <v>0</v>
      </c>
    </row>
    <row r="2761" spans="1:9" s="3" customFormat="1" ht="21.75" customHeight="1">
      <c r="A2761" s="8" t="s">
        <v>14</v>
      </c>
      <c r="B2761" s="8" t="s">
        <v>18</v>
      </c>
      <c r="C2761" s="9" t="str">
        <f t="shared" si="57"/>
        <v>230118</v>
      </c>
      <c r="D2761" s="9" t="str">
        <f>"230903827"</f>
        <v>230903827</v>
      </c>
      <c r="E2761" s="10">
        <v>0</v>
      </c>
      <c r="F2761" s="10"/>
      <c r="G2761" s="10">
        <v>0</v>
      </c>
      <c r="H2761" s="10"/>
      <c r="I2761" s="10">
        <v>0</v>
      </c>
    </row>
    <row r="2762" spans="1:9" ht="21.75" customHeight="1">
      <c r="A2762" s="8" t="s">
        <v>19</v>
      </c>
      <c r="B2762" s="8" t="s">
        <v>15</v>
      </c>
      <c r="C2762" s="9" t="str">
        <f t="shared" ref="C2762:C2793" si="58">"230119"</f>
        <v>230119</v>
      </c>
      <c r="D2762" s="9" t="str">
        <f>"230904315"</f>
        <v>230904315</v>
      </c>
      <c r="E2762" s="10">
        <v>75.72</v>
      </c>
      <c r="F2762" s="10"/>
      <c r="G2762" s="10">
        <v>82</v>
      </c>
      <c r="H2762" s="10"/>
      <c r="I2762" s="10">
        <v>79.489999999999995</v>
      </c>
    </row>
    <row r="2763" spans="1:9" s="1" customFormat="1" ht="21.75" customHeight="1">
      <c r="A2763" s="8" t="s">
        <v>19</v>
      </c>
      <c r="B2763" s="8" t="s">
        <v>15</v>
      </c>
      <c r="C2763" s="9" t="str">
        <f t="shared" si="58"/>
        <v>230119</v>
      </c>
      <c r="D2763" s="9" t="str">
        <f>"230904118"</f>
        <v>230904118</v>
      </c>
      <c r="E2763" s="10">
        <v>76.989999999999995</v>
      </c>
      <c r="F2763" s="10"/>
      <c r="G2763" s="10">
        <v>80.5</v>
      </c>
      <c r="H2763" s="10"/>
      <c r="I2763" s="10">
        <v>79.099999999999994</v>
      </c>
    </row>
    <row r="2764" spans="1:9" s="1" customFormat="1" ht="21.75" customHeight="1">
      <c r="A2764" s="8" t="s">
        <v>19</v>
      </c>
      <c r="B2764" s="8" t="s">
        <v>15</v>
      </c>
      <c r="C2764" s="9" t="str">
        <f t="shared" si="58"/>
        <v>230119</v>
      </c>
      <c r="D2764" s="9" t="str">
        <f>"230903913"</f>
        <v>230903913</v>
      </c>
      <c r="E2764" s="10">
        <v>80.319999999999993</v>
      </c>
      <c r="F2764" s="10"/>
      <c r="G2764" s="10">
        <v>77.5</v>
      </c>
      <c r="H2764" s="10"/>
      <c r="I2764" s="10">
        <v>78.63</v>
      </c>
    </row>
    <row r="2765" spans="1:9" ht="21.75" customHeight="1">
      <c r="A2765" s="8" t="s">
        <v>19</v>
      </c>
      <c r="B2765" s="8" t="s">
        <v>15</v>
      </c>
      <c r="C2765" s="9" t="str">
        <f t="shared" si="58"/>
        <v>230119</v>
      </c>
      <c r="D2765" s="9" t="str">
        <f>"230904121"</f>
        <v>230904121</v>
      </c>
      <c r="E2765" s="10">
        <v>79.400000000000006</v>
      </c>
      <c r="F2765" s="10"/>
      <c r="G2765" s="10">
        <v>78</v>
      </c>
      <c r="H2765" s="10"/>
      <c r="I2765" s="10">
        <v>78.56</v>
      </c>
    </row>
    <row r="2766" spans="1:9" ht="21.75" customHeight="1">
      <c r="A2766" s="8" t="s">
        <v>19</v>
      </c>
      <c r="B2766" s="8" t="s">
        <v>15</v>
      </c>
      <c r="C2766" s="9" t="str">
        <f t="shared" si="58"/>
        <v>230119</v>
      </c>
      <c r="D2766" s="9" t="str">
        <f>"230904218"</f>
        <v>230904218</v>
      </c>
      <c r="E2766" s="10">
        <v>83.43</v>
      </c>
      <c r="F2766" s="10"/>
      <c r="G2766" s="10">
        <v>74.5</v>
      </c>
      <c r="H2766" s="10"/>
      <c r="I2766" s="10">
        <v>78.069999999999993</v>
      </c>
    </row>
    <row r="2767" spans="1:9" s="1" customFormat="1" ht="21.75" customHeight="1">
      <c r="A2767" s="8" t="s">
        <v>19</v>
      </c>
      <c r="B2767" s="8" t="s">
        <v>15</v>
      </c>
      <c r="C2767" s="9" t="str">
        <f t="shared" si="58"/>
        <v>230119</v>
      </c>
      <c r="D2767" s="9" t="str">
        <f>"230904220"</f>
        <v>230904220</v>
      </c>
      <c r="E2767" s="10">
        <v>78.14</v>
      </c>
      <c r="F2767" s="10"/>
      <c r="G2767" s="10">
        <v>77.5</v>
      </c>
      <c r="H2767" s="10"/>
      <c r="I2767" s="10">
        <v>77.760000000000005</v>
      </c>
    </row>
    <row r="2768" spans="1:9" ht="21.75" customHeight="1">
      <c r="A2768" s="8" t="s">
        <v>19</v>
      </c>
      <c r="B2768" s="8" t="s">
        <v>15</v>
      </c>
      <c r="C2768" s="9" t="str">
        <f t="shared" si="58"/>
        <v>230119</v>
      </c>
      <c r="D2768" s="9" t="str">
        <f>"230903905"</f>
        <v>230903905</v>
      </c>
      <c r="E2768" s="10">
        <v>75.03</v>
      </c>
      <c r="F2768" s="10"/>
      <c r="G2768" s="10">
        <v>79</v>
      </c>
      <c r="H2768" s="10"/>
      <c r="I2768" s="10">
        <v>77.41</v>
      </c>
    </row>
    <row r="2769" spans="1:9" ht="21.75" customHeight="1">
      <c r="A2769" s="8" t="s">
        <v>19</v>
      </c>
      <c r="B2769" s="8" t="s">
        <v>15</v>
      </c>
      <c r="C2769" s="9" t="str">
        <f t="shared" si="58"/>
        <v>230119</v>
      </c>
      <c r="D2769" s="9" t="str">
        <f>"230903923"</f>
        <v>230903923</v>
      </c>
      <c r="E2769" s="10">
        <v>74.459999999999994</v>
      </c>
      <c r="F2769" s="10"/>
      <c r="G2769" s="10">
        <v>79</v>
      </c>
      <c r="H2769" s="10"/>
      <c r="I2769" s="10">
        <v>77.180000000000007</v>
      </c>
    </row>
    <row r="2770" spans="1:9" s="1" customFormat="1" ht="21.75" customHeight="1">
      <c r="A2770" s="8" t="s">
        <v>19</v>
      </c>
      <c r="B2770" s="8" t="s">
        <v>15</v>
      </c>
      <c r="C2770" s="9" t="str">
        <f t="shared" si="58"/>
        <v>230119</v>
      </c>
      <c r="D2770" s="9" t="str">
        <f>"230904302"</f>
        <v>230904302</v>
      </c>
      <c r="E2770" s="10">
        <v>75.73</v>
      </c>
      <c r="F2770" s="10"/>
      <c r="G2770" s="10">
        <v>77</v>
      </c>
      <c r="H2770" s="10"/>
      <c r="I2770" s="10">
        <v>76.489999999999995</v>
      </c>
    </row>
    <row r="2771" spans="1:9" ht="21.75" customHeight="1">
      <c r="A2771" s="8" t="s">
        <v>19</v>
      </c>
      <c r="B2771" s="8" t="s">
        <v>15</v>
      </c>
      <c r="C2771" s="9" t="str">
        <f t="shared" si="58"/>
        <v>230119</v>
      </c>
      <c r="D2771" s="9" t="str">
        <f>"230904221"</f>
        <v>230904221</v>
      </c>
      <c r="E2771" s="10">
        <v>75.709999999999994</v>
      </c>
      <c r="F2771" s="10"/>
      <c r="G2771" s="10">
        <v>77</v>
      </c>
      <c r="H2771" s="10"/>
      <c r="I2771" s="10">
        <v>76.48</v>
      </c>
    </row>
    <row r="2772" spans="1:9" ht="21.75" customHeight="1">
      <c r="A2772" s="8" t="s">
        <v>19</v>
      </c>
      <c r="B2772" s="8" t="s">
        <v>15</v>
      </c>
      <c r="C2772" s="9" t="str">
        <f t="shared" si="58"/>
        <v>230119</v>
      </c>
      <c r="D2772" s="9" t="str">
        <f>"230904108"</f>
        <v>230904108</v>
      </c>
      <c r="E2772" s="10">
        <v>75.5</v>
      </c>
      <c r="F2772" s="10"/>
      <c r="G2772" s="10">
        <v>77</v>
      </c>
      <c r="H2772" s="10"/>
      <c r="I2772" s="10">
        <v>76.400000000000006</v>
      </c>
    </row>
    <row r="2773" spans="1:9" ht="21.75" customHeight="1">
      <c r="A2773" s="8" t="s">
        <v>19</v>
      </c>
      <c r="B2773" s="8" t="s">
        <v>15</v>
      </c>
      <c r="C2773" s="9" t="str">
        <f t="shared" si="58"/>
        <v>230119</v>
      </c>
      <c r="D2773" s="9" t="str">
        <f>"230903920"</f>
        <v>230903920</v>
      </c>
      <c r="E2773" s="10">
        <v>73.08</v>
      </c>
      <c r="F2773" s="10"/>
      <c r="G2773" s="10">
        <v>78.5</v>
      </c>
      <c r="H2773" s="10"/>
      <c r="I2773" s="10">
        <v>76.33</v>
      </c>
    </row>
    <row r="2774" spans="1:9" ht="21.75" customHeight="1">
      <c r="A2774" s="8" t="s">
        <v>19</v>
      </c>
      <c r="B2774" s="8" t="s">
        <v>15</v>
      </c>
      <c r="C2774" s="9" t="str">
        <f t="shared" si="58"/>
        <v>230119</v>
      </c>
      <c r="D2774" s="9" t="str">
        <f>"230904224"</f>
        <v>230904224</v>
      </c>
      <c r="E2774" s="10">
        <v>70.91</v>
      </c>
      <c r="F2774" s="10"/>
      <c r="G2774" s="10">
        <v>79.5</v>
      </c>
      <c r="H2774" s="10"/>
      <c r="I2774" s="10">
        <v>76.06</v>
      </c>
    </row>
    <row r="2775" spans="1:9" ht="21.75" customHeight="1">
      <c r="A2775" s="8" t="s">
        <v>19</v>
      </c>
      <c r="B2775" s="8" t="s">
        <v>15</v>
      </c>
      <c r="C2775" s="9" t="str">
        <f t="shared" si="58"/>
        <v>230119</v>
      </c>
      <c r="D2775" s="9" t="str">
        <f>"230904210"</f>
        <v>230904210</v>
      </c>
      <c r="E2775" s="10">
        <v>76.069999999999993</v>
      </c>
      <c r="F2775" s="10"/>
      <c r="G2775" s="10">
        <v>76</v>
      </c>
      <c r="H2775" s="10"/>
      <c r="I2775" s="10">
        <v>76.03</v>
      </c>
    </row>
    <row r="2776" spans="1:9" ht="21.75" customHeight="1">
      <c r="A2776" s="8" t="s">
        <v>19</v>
      </c>
      <c r="B2776" s="8" t="s">
        <v>15</v>
      </c>
      <c r="C2776" s="9" t="str">
        <f t="shared" si="58"/>
        <v>230119</v>
      </c>
      <c r="D2776" s="9" t="str">
        <f>"230904310"</f>
        <v>230904310</v>
      </c>
      <c r="E2776" s="10">
        <v>78.489999999999995</v>
      </c>
      <c r="F2776" s="10"/>
      <c r="G2776" s="10">
        <v>74</v>
      </c>
      <c r="H2776" s="10"/>
      <c r="I2776" s="10">
        <v>75.8</v>
      </c>
    </row>
    <row r="2777" spans="1:9" ht="21.75" customHeight="1">
      <c r="A2777" s="8" t="s">
        <v>19</v>
      </c>
      <c r="B2777" s="8" t="s">
        <v>15</v>
      </c>
      <c r="C2777" s="9" t="str">
        <f t="shared" si="58"/>
        <v>230119</v>
      </c>
      <c r="D2777" s="9" t="str">
        <f>"230904228"</f>
        <v>230904228</v>
      </c>
      <c r="E2777" s="10">
        <v>77.33</v>
      </c>
      <c r="F2777" s="10"/>
      <c r="G2777" s="10">
        <v>74.5</v>
      </c>
      <c r="H2777" s="10"/>
      <c r="I2777" s="10">
        <v>75.63</v>
      </c>
    </row>
    <row r="2778" spans="1:9" ht="21.75" customHeight="1">
      <c r="A2778" s="8" t="s">
        <v>19</v>
      </c>
      <c r="B2778" s="8" t="s">
        <v>15</v>
      </c>
      <c r="C2778" s="9" t="str">
        <f t="shared" si="58"/>
        <v>230119</v>
      </c>
      <c r="D2778" s="9" t="str">
        <f>"230904301"</f>
        <v>230904301</v>
      </c>
      <c r="E2778" s="10">
        <v>76.989999999999995</v>
      </c>
      <c r="F2778" s="10"/>
      <c r="G2778" s="10">
        <v>74.5</v>
      </c>
      <c r="H2778" s="10"/>
      <c r="I2778" s="10">
        <v>75.5</v>
      </c>
    </row>
    <row r="2779" spans="1:9" ht="21.75" customHeight="1">
      <c r="A2779" s="8" t="s">
        <v>19</v>
      </c>
      <c r="B2779" s="8" t="s">
        <v>15</v>
      </c>
      <c r="C2779" s="9" t="str">
        <f t="shared" si="58"/>
        <v>230119</v>
      </c>
      <c r="D2779" s="9" t="str">
        <f>"230904114"</f>
        <v>230904114</v>
      </c>
      <c r="E2779" s="10">
        <v>76.97</v>
      </c>
      <c r="F2779" s="10"/>
      <c r="G2779" s="10">
        <v>74.5</v>
      </c>
      <c r="H2779" s="10"/>
      <c r="I2779" s="10">
        <v>75.489999999999995</v>
      </c>
    </row>
    <row r="2780" spans="1:9" ht="21.75" customHeight="1">
      <c r="A2780" s="8" t="s">
        <v>19</v>
      </c>
      <c r="B2780" s="8" t="s">
        <v>15</v>
      </c>
      <c r="C2780" s="9" t="str">
        <f t="shared" si="58"/>
        <v>230119</v>
      </c>
      <c r="D2780" s="9" t="str">
        <f>"230903928"</f>
        <v>230903928</v>
      </c>
      <c r="E2780" s="10">
        <v>79.41</v>
      </c>
      <c r="F2780" s="10"/>
      <c r="G2780" s="10">
        <v>72.5</v>
      </c>
      <c r="H2780" s="10"/>
      <c r="I2780" s="10">
        <v>75.260000000000005</v>
      </c>
    </row>
    <row r="2781" spans="1:9" s="1" customFormat="1" ht="21.75" customHeight="1">
      <c r="A2781" s="8" t="s">
        <v>19</v>
      </c>
      <c r="B2781" s="8" t="s">
        <v>15</v>
      </c>
      <c r="C2781" s="9" t="str">
        <f t="shared" si="58"/>
        <v>230119</v>
      </c>
      <c r="D2781" s="9" t="str">
        <f>"230904123"</f>
        <v>230904123</v>
      </c>
      <c r="E2781" s="10">
        <v>67.45</v>
      </c>
      <c r="F2781" s="10"/>
      <c r="G2781" s="10">
        <v>80</v>
      </c>
      <c r="H2781" s="10"/>
      <c r="I2781" s="10">
        <v>74.98</v>
      </c>
    </row>
    <row r="2782" spans="1:9" ht="21.75" customHeight="1">
      <c r="A2782" s="8" t="s">
        <v>19</v>
      </c>
      <c r="B2782" s="8" t="s">
        <v>15</v>
      </c>
      <c r="C2782" s="9" t="str">
        <f t="shared" si="58"/>
        <v>230119</v>
      </c>
      <c r="D2782" s="9" t="str">
        <f>"230904111"</f>
        <v>230904111</v>
      </c>
      <c r="E2782" s="10">
        <v>73.31</v>
      </c>
      <c r="F2782" s="10"/>
      <c r="G2782" s="10">
        <v>76</v>
      </c>
      <c r="H2782" s="10"/>
      <c r="I2782" s="10">
        <v>74.92</v>
      </c>
    </row>
    <row r="2783" spans="1:9" ht="21.75" customHeight="1">
      <c r="A2783" s="8" t="s">
        <v>19</v>
      </c>
      <c r="B2783" s="8" t="s">
        <v>15</v>
      </c>
      <c r="C2783" s="9" t="str">
        <f t="shared" si="58"/>
        <v>230119</v>
      </c>
      <c r="D2783" s="9" t="str">
        <f>"230904020"</f>
        <v>230904020</v>
      </c>
      <c r="E2783" s="10">
        <v>72.03</v>
      </c>
      <c r="F2783" s="10"/>
      <c r="G2783" s="10">
        <v>76</v>
      </c>
      <c r="H2783" s="10"/>
      <c r="I2783" s="10">
        <v>74.41</v>
      </c>
    </row>
    <row r="2784" spans="1:9" ht="21.75" customHeight="1">
      <c r="A2784" s="8" t="s">
        <v>19</v>
      </c>
      <c r="B2784" s="8" t="s">
        <v>15</v>
      </c>
      <c r="C2784" s="9" t="str">
        <f t="shared" si="58"/>
        <v>230119</v>
      </c>
      <c r="D2784" s="9" t="str">
        <f>"230904305"</f>
        <v>230904305</v>
      </c>
      <c r="E2784" s="10">
        <v>74</v>
      </c>
      <c r="F2784" s="10"/>
      <c r="G2784" s="10">
        <v>74.5</v>
      </c>
      <c r="H2784" s="10"/>
      <c r="I2784" s="10">
        <v>74.3</v>
      </c>
    </row>
    <row r="2785" spans="1:9" ht="21.75" customHeight="1">
      <c r="A2785" s="8" t="s">
        <v>19</v>
      </c>
      <c r="B2785" s="8" t="s">
        <v>15</v>
      </c>
      <c r="C2785" s="9" t="str">
        <f t="shared" si="58"/>
        <v>230119</v>
      </c>
      <c r="D2785" s="9" t="str">
        <f>"230904002"</f>
        <v>230904002</v>
      </c>
      <c r="E2785" s="10">
        <v>75.48</v>
      </c>
      <c r="F2785" s="10"/>
      <c r="G2785" s="10">
        <v>73.5</v>
      </c>
      <c r="H2785" s="10"/>
      <c r="I2785" s="10">
        <v>74.290000000000006</v>
      </c>
    </row>
    <row r="2786" spans="1:9" ht="21.75" customHeight="1">
      <c r="A2786" s="8" t="s">
        <v>19</v>
      </c>
      <c r="B2786" s="8" t="s">
        <v>15</v>
      </c>
      <c r="C2786" s="9" t="str">
        <f t="shared" si="58"/>
        <v>230119</v>
      </c>
      <c r="D2786" s="9" t="str">
        <f>"230904024"</f>
        <v>230904024</v>
      </c>
      <c r="E2786" s="10">
        <v>70.19</v>
      </c>
      <c r="F2786" s="10"/>
      <c r="G2786" s="10">
        <v>77</v>
      </c>
      <c r="H2786" s="10"/>
      <c r="I2786" s="10">
        <v>74.28</v>
      </c>
    </row>
    <row r="2787" spans="1:9" ht="21.75" customHeight="1">
      <c r="A2787" s="8" t="s">
        <v>19</v>
      </c>
      <c r="B2787" s="8" t="s">
        <v>15</v>
      </c>
      <c r="C2787" s="9" t="str">
        <f t="shared" si="58"/>
        <v>230119</v>
      </c>
      <c r="D2787" s="9" t="str">
        <f>"230903911"</f>
        <v>230903911</v>
      </c>
      <c r="E2787" s="10">
        <v>74.45</v>
      </c>
      <c r="F2787" s="10"/>
      <c r="G2787" s="10">
        <v>74</v>
      </c>
      <c r="H2787" s="10"/>
      <c r="I2787" s="10">
        <v>74.180000000000007</v>
      </c>
    </row>
    <row r="2788" spans="1:9" s="1" customFormat="1" ht="21.75" customHeight="1">
      <c r="A2788" s="8" t="s">
        <v>19</v>
      </c>
      <c r="B2788" s="8" t="s">
        <v>15</v>
      </c>
      <c r="C2788" s="9" t="str">
        <f t="shared" si="58"/>
        <v>230119</v>
      </c>
      <c r="D2788" s="9" t="str">
        <f>"230903830"</f>
        <v>230903830</v>
      </c>
      <c r="E2788" s="10">
        <v>76.87</v>
      </c>
      <c r="F2788" s="10"/>
      <c r="G2788" s="10">
        <v>72</v>
      </c>
      <c r="H2788" s="10"/>
      <c r="I2788" s="10">
        <v>73.95</v>
      </c>
    </row>
    <row r="2789" spans="1:9" ht="21.75" customHeight="1">
      <c r="A2789" s="8" t="s">
        <v>19</v>
      </c>
      <c r="B2789" s="8" t="s">
        <v>15</v>
      </c>
      <c r="C2789" s="9" t="str">
        <f t="shared" si="58"/>
        <v>230119</v>
      </c>
      <c r="D2789" s="9" t="str">
        <f>"230904006"</f>
        <v>230904006</v>
      </c>
      <c r="E2789" s="10">
        <v>66.989999999999995</v>
      </c>
      <c r="F2789" s="10"/>
      <c r="G2789" s="10">
        <v>78.5</v>
      </c>
      <c r="H2789" s="10"/>
      <c r="I2789" s="10">
        <v>73.900000000000006</v>
      </c>
    </row>
    <row r="2790" spans="1:9" ht="21.75" customHeight="1">
      <c r="A2790" s="8" t="s">
        <v>19</v>
      </c>
      <c r="B2790" s="8" t="s">
        <v>15</v>
      </c>
      <c r="C2790" s="9" t="str">
        <f t="shared" si="58"/>
        <v>230119</v>
      </c>
      <c r="D2790" s="9" t="str">
        <f>"230904004"</f>
        <v>230904004</v>
      </c>
      <c r="E2790" s="10">
        <v>73.319999999999993</v>
      </c>
      <c r="F2790" s="10"/>
      <c r="G2790" s="10">
        <v>74</v>
      </c>
      <c r="H2790" s="10"/>
      <c r="I2790" s="10">
        <v>73.73</v>
      </c>
    </row>
    <row r="2791" spans="1:9" ht="21.75" customHeight="1">
      <c r="A2791" s="8" t="s">
        <v>19</v>
      </c>
      <c r="B2791" s="8" t="s">
        <v>15</v>
      </c>
      <c r="C2791" s="9" t="str">
        <f t="shared" si="58"/>
        <v>230119</v>
      </c>
      <c r="D2791" s="9" t="str">
        <f>"230904304"</f>
        <v>230904304</v>
      </c>
      <c r="E2791" s="10">
        <v>72.040000000000006</v>
      </c>
      <c r="F2791" s="10"/>
      <c r="G2791" s="10">
        <v>74.5</v>
      </c>
      <c r="H2791" s="10"/>
      <c r="I2791" s="10">
        <v>73.52</v>
      </c>
    </row>
    <row r="2792" spans="1:9" ht="21.75" customHeight="1">
      <c r="A2792" s="8" t="s">
        <v>19</v>
      </c>
      <c r="B2792" s="8" t="s">
        <v>15</v>
      </c>
      <c r="C2792" s="9" t="str">
        <f t="shared" si="58"/>
        <v>230119</v>
      </c>
      <c r="D2792" s="9" t="str">
        <f>"230904219"</f>
        <v>230904219</v>
      </c>
      <c r="E2792" s="10">
        <v>76.400000000000006</v>
      </c>
      <c r="F2792" s="10"/>
      <c r="G2792" s="10">
        <v>71.5</v>
      </c>
      <c r="H2792" s="10"/>
      <c r="I2792" s="10">
        <v>73.459999999999994</v>
      </c>
    </row>
    <row r="2793" spans="1:9" ht="21.75" customHeight="1">
      <c r="A2793" s="8" t="s">
        <v>19</v>
      </c>
      <c r="B2793" s="8" t="s">
        <v>15</v>
      </c>
      <c r="C2793" s="9" t="str">
        <f t="shared" si="58"/>
        <v>230119</v>
      </c>
      <c r="D2793" s="9" t="str">
        <f>"230903907"</f>
        <v>230903907</v>
      </c>
      <c r="E2793" s="10">
        <v>76.08</v>
      </c>
      <c r="F2793" s="10"/>
      <c r="G2793" s="10">
        <v>71.5</v>
      </c>
      <c r="H2793" s="10"/>
      <c r="I2793" s="10">
        <v>73.33</v>
      </c>
    </row>
    <row r="2794" spans="1:9" ht="21.75" customHeight="1">
      <c r="A2794" s="8" t="s">
        <v>19</v>
      </c>
      <c r="B2794" s="8" t="s">
        <v>15</v>
      </c>
      <c r="C2794" s="9" t="str">
        <f t="shared" ref="C2794:C2825" si="59">"230119"</f>
        <v>230119</v>
      </c>
      <c r="D2794" s="9" t="str">
        <f>"230904027"</f>
        <v>230904027</v>
      </c>
      <c r="E2794" s="10">
        <v>68.83</v>
      </c>
      <c r="F2794" s="10"/>
      <c r="G2794" s="10">
        <v>76</v>
      </c>
      <c r="H2794" s="10"/>
      <c r="I2794" s="10">
        <v>73.13</v>
      </c>
    </row>
    <row r="2795" spans="1:9" ht="21.75" customHeight="1">
      <c r="A2795" s="8" t="s">
        <v>19</v>
      </c>
      <c r="B2795" s="8" t="s">
        <v>15</v>
      </c>
      <c r="C2795" s="9" t="str">
        <f t="shared" si="59"/>
        <v>230119</v>
      </c>
      <c r="D2795" s="9" t="str">
        <f>"230904230"</f>
        <v>230904230</v>
      </c>
      <c r="E2795" s="10">
        <v>73.88</v>
      </c>
      <c r="F2795" s="10"/>
      <c r="G2795" s="10">
        <v>72.5</v>
      </c>
      <c r="H2795" s="10"/>
      <c r="I2795" s="10">
        <v>73.05</v>
      </c>
    </row>
    <row r="2796" spans="1:9" ht="21.75" customHeight="1">
      <c r="A2796" s="8" t="s">
        <v>19</v>
      </c>
      <c r="B2796" s="8" t="s">
        <v>15</v>
      </c>
      <c r="C2796" s="9" t="str">
        <f t="shared" si="59"/>
        <v>230119</v>
      </c>
      <c r="D2796" s="9" t="str">
        <f>"230904312"</f>
        <v>230904312</v>
      </c>
      <c r="E2796" s="10">
        <v>72.61</v>
      </c>
      <c r="F2796" s="10"/>
      <c r="G2796" s="10">
        <v>73</v>
      </c>
      <c r="H2796" s="10"/>
      <c r="I2796" s="10">
        <v>72.84</v>
      </c>
    </row>
    <row r="2797" spans="1:9" ht="21.75" customHeight="1">
      <c r="A2797" s="8" t="s">
        <v>19</v>
      </c>
      <c r="B2797" s="8" t="s">
        <v>15</v>
      </c>
      <c r="C2797" s="9" t="str">
        <f t="shared" si="59"/>
        <v>230119</v>
      </c>
      <c r="D2797" s="9" t="str">
        <f>"230904205"</f>
        <v>230904205</v>
      </c>
      <c r="E2797" s="10">
        <v>76.98</v>
      </c>
      <c r="F2797" s="10"/>
      <c r="G2797" s="10">
        <v>70</v>
      </c>
      <c r="H2797" s="10"/>
      <c r="I2797" s="10">
        <v>72.790000000000006</v>
      </c>
    </row>
    <row r="2798" spans="1:9" ht="21.75" customHeight="1">
      <c r="A2798" s="8" t="s">
        <v>19</v>
      </c>
      <c r="B2798" s="8" t="s">
        <v>15</v>
      </c>
      <c r="C2798" s="9" t="str">
        <f t="shared" si="59"/>
        <v>230119</v>
      </c>
      <c r="D2798" s="9" t="str">
        <f>"230904107"</f>
        <v>230904107</v>
      </c>
      <c r="E2798" s="10">
        <v>69.28</v>
      </c>
      <c r="F2798" s="10"/>
      <c r="G2798" s="10">
        <v>75</v>
      </c>
      <c r="H2798" s="10"/>
      <c r="I2798" s="10">
        <v>72.709999999999994</v>
      </c>
    </row>
    <row r="2799" spans="1:9" s="1" customFormat="1" ht="21.75" customHeight="1">
      <c r="A2799" s="8" t="s">
        <v>19</v>
      </c>
      <c r="B2799" s="8" t="s">
        <v>15</v>
      </c>
      <c r="C2799" s="9" t="str">
        <f t="shared" si="59"/>
        <v>230119</v>
      </c>
      <c r="D2799" s="9" t="str">
        <f>"230903930"</f>
        <v>230903930</v>
      </c>
      <c r="E2799" s="10">
        <v>71.47</v>
      </c>
      <c r="F2799" s="10"/>
      <c r="G2799" s="10">
        <v>73.5</v>
      </c>
      <c r="H2799" s="10"/>
      <c r="I2799" s="10">
        <v>72.69</v>
      </c>
    </row>
    <row r="2800" spans="1:9" ht="21.75" customHeight="1">
      <c r="A2800" s="8" t="s">
        <v>19</v>
      </c>
      <c r="B2800" s="8" t="s">
        <v>15</v>
      </c>
      <c r="C2800" s="9" t="str">
        <f t="shared" si="59"/>
        <v>230119</v>
      </c>
      <c r="D2800" s="9" t="str">
        <f>"230904005"</f>
        <v>230904005</v>
      </c>
      <c r="E2800" s="10">
        <v>69.98</v>
      </c>
      <c r="F2800" s="10"/>
      <c r="G2800" s="10">
        <v>74.5</v>
      </c>
      <c r="H2800" s="10"/>
      <c r="I2800" s="10">
        <v>72.69</v>
      </c>
    </row>
    <row r="2801" spans="1:9" ht="21.75" customHeight="1">
      <c r="A2801" s="8" t="s">
        <v>19</v>
      </c>
      <c r="B2801" s="8" t="s">
        <v>15</v>
      </c>
      <c r="C2801" s="9" t="str">
        <f t="shared" si="59"/>
        <v>230119</v>
      </c>
      <c r="D2801" s="9" t="str">
        <f>"230904214"</f>
        <v>230904214</v>
      </c>
      <c r="E2801" s="10">
        <v>70.680000000000007</v>
      </c>
      <c r="F2801" s="10"/>
      <c r="G2801" s="10">
        <v>74</v>
      </c>
      <c r="H2801" s="10"/>
      <c r="I2801" s="10">
        <v>72.67</v>
      </c>
    </row>
    <row r="2802" spans="1:9" ht="21.75" customHeight="1">
      <c r="A2802" s="8" t="s">
        <v>19</v>
      </c>
      <c r="B2802" s="8" t="s">
        <v>15</v>
      </c>
      <c r="C2802" s="9" t="str">
        <f t="shared" si="59"/>
        <v>230119</v>
      </c>
      <c r="D2802" s="9" t="str">
        <f>"230903921"</f>
        <v>230903921</v>
      </c>
      <c r="E2802" s="10">
        <v>63.89</v>
      </c>
      <c r="F2802" s="10"/>
      <c r="G2802" s="10">
        <v>78.5</v>
      </c>
      <c r="H2802" s="10"/>
      <c r="I2802" s="10">
        <v>72.66</v>
      </c>
    </row>
    <row r="2803" spans="1:9" ht="21.75" customHeight="1">
      <c r="A2803" s="8" t="s">
        <v>19</v>
      </c>
      <c r="B2803" s="8" t="s">
        <v>15</v>
      </c>
      <c r="C2803" s="9" t="str">
        <f t="shared" si="59"/>
        <v>230119</v>
      </c>
      <c r="D2803" s="9" t="str">
        <f>"230904126"</f>
        <v>230904126</v>
      </c>
      <c r="E2803" s="10">
        <v>68.040000000000006</v>
      </c>
      <c r="F2803" s="10"/>
      <c r="G2803" s="10">
        <v>75.5</v>
      </c>
      <c r="H2803" s="10"/>
      <c r="I2803" s="10">
        <v>72.52</v>
      </c>
    </row>
    <row r="2804" spans="1:9" ht="21.75" customHeight="1">
      <c r="A2804" s="8" t="s">
        <v>19</v>
      </c>
      <c r="B2804" s="8" t="s">
        <v>15</v>
      </c>
      <c r="C2804" s="9" t="str">
        <f t="shared" si="59"/>
        <v>230119</v>
      </c>
      <c r="D2804" s="9" t="str">
        <f>"230904009"</f>
        <v>230904009</v>
      </c>
      <c r="E2804" s="10">
        <v>67.239999999999995</v>
      </c>
      <c r="F2804" s="10"/>
      <c r="G2804" s="10">
        <v>76</v>
      </c>
      <c r="H2804" s="10"/>
      <c r="I2804" s="10">
        <v>72.5</v>
      </c>
    </row>
    <row r="2805" spans="1:9" s="1" customFormat="1" ht="21.75" customHeight="1">
      <c r="A2805" s="8" t="s">
        <v>19</v>
      </c>
      <c r="B2805" s="8" t="s">
        <v>15</v>
      </c>
      <c r="C2805" s="9" t="str">
        <f t="shared" si="59"/>
        <v>230119</v>
      </c>
      <c r="D2805" s="9" t="str">
        <f>"230904216"</f>
        <v>230904216</v>
      </c>
      <c r="E2805" s="10">
        <v>70.900000000000006</v>
      </c>
      <c r="F2805" s="10"/>
      <c r="G2805" s="10">
        <v>73.5</v>
      </c>
      <c r="H2805" s="10"/>
      <c r="I2805" s="10">
        <v>72.459999999999994</v>
      </c>
    </row>
    <row r="2806" spans="1:9" s="1" customFormat="1" ht="21.75" customHeight="1">
      <c r="A2806" s="8" t="s">
        <v>19</v>
      </c>
      <c r="B2806" s="8" t="s">
        <v>15</v>
      </c>
      <c r="C2806" s="9" t="str">
        <f t="shared" si="59"/>
        <v>230119</v>
      </c>
      <c r="D2806" s="9" t="str">
        <f>"230904025"</f>
        <v>230904025</v>
      </c>
      <c r="E2806" s="10">
        <v>65.16</v>
      </c>
      <c r="F2806" s="10"/>
      <c r="G2806" s="10">
        <v>77</v>
      </c>
      <c r="H2806" s="10"/>
      <c r="I2806" s="10">
        <v>72.260000000000005</v>
      </c>
    </row>
    <row r="2807" spans="1:9" ht="21.75" customHeight="1">
      <c r="A2807" s="8" t="s">
        <v>19</v>
      </c>
      <c r="B2807" s="8" t="s">
        <v>15</v>
      </c>
      <c r="C2807" s="9" t="str">
        <f t="shared" si="59"/>
        <v>230119</v>
      </c>
      <c r="D2807" s="9" t="str">
        <f>"230904215"</f>
        <v>230904215</v>
      </c>
      <c r="E2807" s="10">
        <v>68.13</v>
      </c>
      <c r="F2807" s="10"/>
      <c r="G2807" s="10">
        <v>75</v>
      </c>
      <c r="H2807" s="10"/>
      <c r="I2807" s="10">
        <v>72.25</v>
      </c>
    </row>
    <row r="2808" spans="1:9" ht="21.75" customHeight="1">
      <c r="A2808" s="8" t="s">
        <v>19</v>
      </c>
      <c r="B2808" s="8" t="s">
        <v>15</v>
      </c>
      <c r="C2808" s="9" t="str">
        <f t="shared" si="59"/>
        <v>230119</v>
      </c>
      <c r="D2808" s="9" t="str">
        <f>"230904222"</f>
        <v>230904222</v>
      </c>
      <c r="E2808" s="10">
        <v>74.12</v>
      </c>
      <c r="F2808" s="10"/>
      <c r="G2808" s="10">
        <v>71</v>
      </c>
      <c r="H2808" s="10"/>
      <c r="I2808" s="10">
        <v>72.25</v>
      </c>
    </row>
    <row r="2809" spans="1:9" ht="21.75" customHeight="1">
      <c r="A2809" s="8" t="s">
        <v>19</v>
      </c>
      <c r="B2809" s="8" t="s">
        <v>15</v>
      </c>
      <c r="C2809" s="9" t="str">
        <f t="shared" si="59"/>
        <v>230119</v>
      </c>
      <c r="D2809" s="9" t="str">
        <f>"230904124"</f>
        <v>230904124</v>
      </c>
      <c r="E2809" s="10">
        <v>70.55</v>
      </c>
      <c r="F2809" s="10"/>
      <c r="G2809" s="10">
        <v>73</v>
      </c>
      <c r="H2809" s="10"/>
      <c r="I2809" s="10">
        <v>72.02</v>
      </c>
    </row>
    <row r="2810" spans="1:9" ht="21.75" customHeight="1">
      <c r="A2810" s="8" t="s">
        <v>19</v>
      </c>
      <c r="B2810" s="8" t="s">
        <v>15</v>
      </c>
      <c r="C2810" s="9" t="str">
        <f t="shared" si="59"/>
        <v>230119</v>
      </c>
      <c r="D2810" s="9" t="str">
        <f>"230904016"</f>
        <v>230904016</v>
      </c>
      <c r="E2810" s="10">
        <v>71.13</v>
      </c>
      <c r="F2810" s="10"/>
      <c r="G2810" s="10">
        <v>72.5</v>
      </c>
      <c r="H2810" s="10"/>
      <c r="I2810" s="10">
        <v>71.95</v>
      </c>
    </row>
    <row r="2811" spans="1:9" ht="21.75" customHeight="1">
      <c r="A2811" s="8" t="s">
        <v>19</v>
      </c>
      <c r="B2811" s="8" t="s">
        <v>15</v>
      </c>
      <c r="C2811" s="9" t="str">
        <f t="shared" si="59"/>
        <v>230119</v>
      </c>
      <c r="D2811" s="9" t="str">
        <f>"230904308"</f>
        <v>230904308</v>
      </c>
      <c r="E2811" s="10">
        <v>77.92</v>
      </c>
      <c r="F2811" s="10"/>
      <c r="G2811" s="10">
        <v>67.5</v>
      </c>
      <c r="H2811" s="10"/>
      <c r="I2811" s="10">
        <v>71.67</v>
      </c>
    </row>
    <row r="2812" spans="1:9" s="1" customFormat="1" ht="21.75" customHeight="1">
      <c r="A2812" s="8" t="s">
        <v>19</v>
      </c>
      <c r="B2812" s="8" t="s">
        <v>15</v>
      </c>
      <c r="C2812" s="9" t="str">
        <f t="shared" si="59"/>
        <v>230119</v>
      </c>
      <c r="D2812" s="9" t="str">
        <f>"230904307"</f>
        <v>230904307</v>
      </c>
      <c r="E2812" s="10">
        <v>70.900000000000006</v>
      </c>
      <c r="F2812" s="10"/>
      <c r="G2812" s="10">
        <v>72</v>
      </c>
      <c r="H2812" s="10"/>
      <c r="I2812" s="10">
        <v>71.56</v>
      </c>
    </row>
    <row r="2813" spans="1:9" s="1" customFormat="1" ht="21.75" customHeight="1">
      <c r="A2813" s="8" t="s">
        <v>19</v>
      </c>
      <c r="B2813" s="8" t="s">
        <v>15</v>
      </c>
      <c r="C2813" s="9" t="str">
        <f t="shared" si="59"/>
        <v>230119</v>
      </c>
      <c r="D2813" s="9" t="str">
        <f>"230904101"</f>
        <v>230904101</v>
      </c>
      <c r="E2813" s="10">
        <v>63.29</v>
      </c>
      <c r="F2813" s="10"/>
      <c r="G2813" s="10">
        <v>76.5</v>
      </c>
      <c r="H2813" s="10"/>
      <c r="I2813" s="10">
        <v>71.22</v>
      </c>
    </row>
    <row r="2814" spans="1:9" ht="21.75" customHeight="1">
      <c r="A2814" s="8" t="s">
        <v>19</v>
      </c>
      <c r="B2814" s="8" t="s">
        <v>15</v>
      </c>
      <c r="C2814" s="9" t="str">
        <f t="shared" si="59"/>
        <v>230119</v>
      </c>
      <c r="D2814" s="9" t="str">
        <f>"230904014"</f>
        <v>230904014</v>
      </c>
      <c r="E2814" s="10">
        <v>69.400000000000006</v>
      </c>
      <c r="F2814" s="10"/>
      <c r="G2814" s="10">
        <v>72</v>
      </c>
      <c r="H2814" s="10"/>
      <c r="I2814" s="10">
        <v>70.959999999999994</v>
      </c>
    </row>
    <row r="2815" spans="1:9" ht="21.75" customHeight="1">
      <c r="A2815" s="8" t="s">
        <v>19</v>
      </c>
      <c r="B2815" s="8" t="s">
        <v>15</v>
      </c>
      <c r="C2815" s="9" t="str">
        <f t="shared" si="59"/>
        <v>230119</v>
      </c>
      <c r="D2815" s="9" t="str">
        <f>"230904313"</f>
        <v>230904313</v>
      </c>
      <c r="E2815" s="10">
        <v>68.59</v>
      </c>
      <c r="F2815" s="10"/>
      <c r="G2815" s="10">
        <v>72.5</v>
      </c>
      <c r="H2815" s="10"/>
      <c r="I2815" s="10">
        <v>70.94</v>
      </c>
    </row>
    <row r="2816" spans="1:9" ht="21.75" customHeight="1">
      <c r="A2816" s="8" t="s">
        <v>19</v>
      </c>
      <c r="B2816" s="8" t="s">
        <v>15</v>
      </c>
      <c r="C2816" s="9" t="str">
        <f t="shared" si="59"/>
        <v>230119</v>
      </c>
      <c r="D2816" s="9" t="str">
        <f>"230904212"</f>
        <v>230904212</v>
      </c>
      <c r="E2816" s="10">
        <v>66.290000000000006</v>
      </c>
      <c r="F2816" s="10"/>
      <c r="G2816" s="10">
        <v>74</v>
      </c>
      <c r="H2816" s="10"/>
      <c r="I2816" s="10">
        <v>70.92</v>
      </c>
    </row>
    <row r="2817" spans="1:9" ht="21.75" customHeight="1">
      <c r="A2817" s="8" t="s">
        <v>19</v>
      </c>
      <c r="B2817" s="8" t="s">
        <v>15</v>
      </c>
      <c r="C2817" s="9" t="str">
        <f t="shared" si="59"/>
        <v>230119</v>
      </c>
      <c r="D2817" s="9" t="str">
        <f>"230904120"</f>
        <v>230904120</v>
      </c>
      <c r="E2817" s="10">
        <v>67.81</v>
      </c>
      <c r="F2817" s="10"/>
      <c r="G2817" s="10">
        <v>72.5</v>
      </c>
      <c r="H2817" s="10"/>
      <c r="I2817" s="10">
        <v>70.62</v>
      </c>
    </row>
    <row r="2818" spans="1:9" ht="21.75" customHeight="1">
      <c r="A2818" s="8" t="s">
        <v>19</v>
      </c>
      <c r="B2818" s="8" t="s">
        <v>15</v>
      </c>
      <c r="C2818" s="9" t="str">
        <f t="shared" si="59"/>
        <v>230119</v>
      </c>
      <c r="D2818" s="9" t="str">
        <f>"230903927"</f>
        <v>230903927</v>
      </c>
      <c r="E2818" s="10">
        <v>60.77</v>
      </c>
      <c r="F2818" s="10"/>
      <c r="G2818" s="10">
        <v>77</v>
      </c>
      <c r="H2818" s="10"/>
      <c r="I2818" s="10">
        <v>70.510000000000005</v>
      </c>
    </row>
    <row r="2819" spans="1:9" s="1" customFormat="1" ht="21.75" customHeight="1">
      <c r="A2819" s="8" t="s">
        <v>19</v>
      </c>
      <c r="B2819" s="8" t="s">
        <v>15</v>
      </c>
      <c r="C2819" s="9" t="str">
        <f t="shared" si="59"/>
        <v>230119</v>
      </c>
      <c r="D2819" s="9" t="str">
        <f>"230903901"</f>
        <v>230903901</v>
      </c>
      <c r="E2819" s="10">
        <v>74.23</v>
      </c>
      <c r="F2819" s="10"/>
      <c r="G2819" s="10">
        <v>68</v>
      </c>
      <c r="H2819" s="10"/>
      <c r="I2819" s="10">
        <v>70.489999999999995</v>
      </c>
    </row>
    <row r="2820" spans="1:9" ht="21.75" customHeight="1">
      <c r="A2820" s="8" t="s">
        <v>19</v>
      </c>
      <c r="B2820" s="8" t="s">
        <v>15</v>
      </c>
      <c r="C2820" s="9" t="str">
        <f t="shared" si="59"/>
        <v>230119</v>
      </c>
      <c r="D2820" s="9" t="str">
        <f>"230903902"</f>
        <v>230903902</v>
      </c>
      <c r="E2820" s="10">
        <v>70.319999999999993</v>
      </c>
      <c r="F2820" s="10"/>
      <c r="G2820" s="10">
        <v>70.5</v>
      </c>
      <c r="H2820" s="10"/>
      <c r="I2820" s="10">
        <v>70.430000000000007</v>
      </c>
    </row>
    <row r="2821" spans="1:9" ht="21.75" customHeight="1">
      <c r="A2821" s="8" t="s">
        <v>19</v>
      </c>
      <c r="B2821" s="8" t="s">
        <v>15</v>
      </c>
      <c r="C2821" s="9" t="str">
        <f t="shared" si="59"/>
        <v>230119</v>
      </c>
      <c r="D2821" s="9" t="str">
        <f>"230904013"</f>
        <v>230904013</v>
      </c>
      <c r="E2821" s="10">
        <v>63.52</v>
      </c>
      <c r="F2821" s="10"/>
      <c r="G2821" s="10">
        <v>75</v>
      </c>
      <c r="H2821" s="10"/>
      <c r="I2821" s="10">
        <v>70.41</v>
      </c>
    </row>
    <row r="2822" spans="1:9" ht="21.75" customHeight="1">
      <c r="A2822" s="8" t="s">
        <v>19</v>
      </c>
      <c r="B2822" s="8" t="s">
        <v>15</v>
      </c>
      <c r="C2822" s="9" t="str">
        <f t="shared" si="59"/>
        <v>230119</v>
      </c>
      <c r="D2822" s="9" t="str">
        <f>"230903918"</f>
        <v>230903918</v>
      </c>
      <c r="E2822" s="10">
        <v>76.989999999999995</v>
      </c>
      <c r="F2822" s="10"/>
      <c r="G2822" s="10">
        <v>66</v>
      </c>
      <c r="H2822" s="10"/>
      <c r="I2822" s="10">
        <v>70.400000000000006</v>
      </c>
    </row>
    <row r="2823" spans="1:9" ht="21.75" customHeight="1">
      <c r="A2823" s="8" t="s">
        <v>19</v>
      </c>
      <c r="B2823" s="8" t="s">
        <v>15</v>
      </c>
      <c r="C2823" s="9" t="str">
        <f t="shared" si="59"/>
        <v>230119</v>
      </c>
      <c r="D2823" s="9" t="str">
        <f>"230904103"</f>
        <v>230904103</v>
      </c>
      <c r="E2823" s="10">
        <v>61.58</v>
      </c>
      <c r="F2823" s="10"/>
      <c r="G2823" s="10">
        <v>76</v>
      </c>
      <c r="H2823" s="10"/>
      <c r="I2823" s="10">
        <v>70.23</v>
      </c>
    </row>
    <row r="2824" spans="1:9" s="1" customFormat="1" ht="21.75" customHeight="1">
      <c r="A2824" s="8" t="s">
        <v>19</v>
      </c>
      <c r="B2824" s="8" t="s">
        <v>15</v>
      </c>
      <c r="C2824" s="9" t="str">
        <f t="shared" si="59"/>
        <v>230119</v>
      </c>
      <c r="D2824" s="9" t="str">
        <f>"230904003"</f>
        <v>230904003</v>
      </c>
      <c r="E2824" s="10">
        <v>69.05</v>
      </c>
      <c r="F2824" s="10"/>
      <c r="G2824" s="10">
        <v>71</v>
      </c>
      <c r="H2824" s="10"/>
      <c r="I2824" s="10">
        <v>70.22</v>
      </c>
    </row>
    <row r="2825" spans="1:9" ht="21.75" customHeight="1">
      <c r="A2825" s="8" t="s">
        <v>19</v>
      </c>
      <c r="B2825" s="8" t="s">
        <v>15</v>
      </c>
      <c r="C2825" s="9" t="str">
        <f t="shared" si="59"/>
        <v>230119</v>
      </c>
      <c r="D2825" s="9" t="str">
        <f>"230904021"</f>
        <v>230904021</v>
      </c>
      <c r="E2825" s="10">
        <v>70.31</v>
      </c>
      <c r="F2825" s="10"/>
      <c r="G2825" s="10">
        <v>70</v>
      </c>
      <c r="H2825" s="10"/>
      <c r="I2825" s="10">
        <v>70.12</v>
      </c>
    </row>
    <row r="2826" spans="1:9" ht="21.75" customHeight="1">
      <c r="A2826" s="8" t="s">
        <v>19</v>
      </c>
      <c r="B2826" s="8" t="s">
        <v>15</v>
      </c>
      <c r="C2826" s="9" t="str">
        <f t="shared" ref="C2826:C2857" si="60">"230119"</f>
        <v>230119</v>
      </c>
      <c r="D2826" s="9" t="str">
        <f>"230904225"</f>
        <v>230904225</v>
      </c>
      <c r="E2826" s="10">
        <v>66.3</v>
      </c>
      <c r="F2826" s="10"/>
      <c r="G2826" s="10">
        <v>72.5</v>
      </c>
      <c r="H2826" s="10"/>
      <c r="I2826" s="10">
        <v>70.02</v>
      </c>
    </row>
    <row r="2827" spans="1:9" s="1" customFormat="1" ht="21.75" customHeight="1">
      <c r="A2827" s="8" t="s">
        <v>19</v>
      </c>
      <c r="B2827" s="8" t="s">
        <v>15</v>
      </c>
      <c r="C2827" s="9" t="str">
        <f t="shared" si="60"/>
        <v>230119</v>
      </c>
      <c r="D2827" s="9" t="str">
        <f>"230904026"</f>
        <v>230904026</v>
      </c>
      <c r="E2827" s="10">
        <v>61.46</v>
      </c>
      <c r="F2827" s="10"/>
      <c r="G2827" s="10">
        <v>75.5</v>
      </c>
      <c r="H2827" s="10"/>
      <c r="I2827" s="10">
        <v>69.88</v>
      </c>
    </row>
    <row r="2828" spans="1:9" ht="21.75" customHeight="1">
      <c r="A2828" s="8" t="s">
        <v>19</v>
      </c>
      <c r="B2828" s="8" t="s">
        <v>15</v>
      </c>
      <c r="C2828" s="9" t="str">
        <f t="shared" si="60"/>
        <v>230119</v>
      </c>
      <c r="D2828" s="9" t="str">
        <f>"230904309"</f>
        <v>230904309</v>
      </c>
      <c r="E2828" s="10">
        <v>66.64</v>
      </c>
      <c r="F2828" s="10"/>
      <c r="G2828" s="10">
        <v>72</v>
      </c>
      <c r="H2828" s="10"/>
      <c r="I2828" s="10">
        <v>69.86</v>
      </c>
    </row>
    <row r="2829" spans="1:9" ht="21.75" customHeight="1">
      <c r="A2829" s="8" t="s">
        <v>19</v>
      </c>
      <c r="B2829" s="8" t="s">
        <v>15</v>
      </c>
      <c r="C2829" s="9" t="str">
        <f t="shared" si="60"/>
        <v>230119</v>
      </c>
      <c r="D2829" s="9" t="str">
        <f>"230904201"</f>
        <v>230904201</v>
      </c>
      <c r="E2829" s="10">
        <v>64.13</v>
      </c>
      <c r="F2829" s="10"/>
      <c r="G2829" s="10">
        <v>73.5</v>
      </c>
      <c r="H2829" s="10"/>
      <c r="I2829" s="10">
        <v>69.75</v>
      </c>
    </row>
    <row r="2830" spans="1:9" ht="21.75" customHeight="1">
      <c r="A2830" s="8" t="s">
        <v>19</v>
      </c>
      <c r="B2830" s="8" t="s">
        <v>15</v>
      </c>
      <c r="C2830" s="9" t="str">
        <f t="shared" si="60"/>
        <v>230119</v>
      </c>
      <c r="D2830" s="9" t="str">
        <f>"230904104"</f>
        <v>230904104</v>
      </c>
      <c r="E2830" s="10">
        <v>69.739999999999995</v>
      </c>
      <c r="F2830" s="10"/>
      <c r="G2830" s="10">
        <v>69.5</v>
      </c>
      <c r="H2830" s="10"/>
      <c r="I2830" s="10">
        <v>69.599999999999994</v>
      </c>
    </row>
    <row r="2831" spans="1:9" ht="21.75" customHeight="1">
      <c r="A2831" s="8" t="s">
        <v>19</v>
      </c>
      <c r="B2831" s="8" t="s">
        <v>15</v>
      </c>
      <c r="C2831" s="9" t="str">
        <f t="shared" si="60"/>
        <v>230119</v>
      </c>
      <c r="D2831" s="9" t="str">
        <f>"230904226"</f>
        <v>230904226</v>
      </c>
      <c r="E2831" s="10">
        <v>64.45</v>
      </c>
      <c r="F2831" s="10"/>
      <c r="G2831" s="10">
        <v>73</v>
      </c>
      <c r="H2831" s="10"/>
      <c r="I2831" s="10">
        <v>69.58</v>
      </c>
    </row>
    <row r="2832" spans="1:9" ht="21.75" customHeight="1">
      <c r="A2832" s="8" t="s">
        <v>19</v>
      </c>
      <c r="B2832" s="8" t="s">
        <v>15</v>
      </c>
      <c r="C2832" s="9" t="str">
        <f t="shared" si="60"/>
        <v>230119</v>
      </c>
      <c r="D2832" s="9" t="str">
        <f>"230904128"</f>
        <v>230904128</v>
      </c>
      <c r="E2832" s="10">
        <v>66.64</v>
      </c>
      <c r="F2832" s="10"/>
      <c r="G2832" s="10">
        <v>71.5</v>
      </c>
      <c r="H2832" s="10"/>
      <c r="I2832" s="10">
        <v>69.56</v>
      </c>
    </row>
    <row r="2833" spans="1:9" ht="21.75" customHeight="1">
      <c r="A2833" s="8" t="s">
        <v>19</v>
      </c>
      <c r="B2833" s="8" t="s">
        <v>15</v>
      </c>
      <c r="C2833" s="9" t="str">
        <f t="shared" si="60"/>
        <v>230119</v>
      </c>
      <c r="D2833" s="9" t="str">
        <f>"230904213"</f>
        <v>230904213</v>
      </c>
      <c r="E2833" s="10">
        <v>62.04</v>
      </c>
      <c r="F2833" s="10"/>
      <c r="G2833" s="10">
        <v>74.5</v>
      </c>
      <c r="H2833" s="10"/>
      <c r="I2833" s="10">
        <v>69.52</v>
      </c>
    </row>
    <row r="2834" spans="1:9" ht="21.75" customHeight="1">
      <c r="A2834" s="8" t="s">
        <v>19</v>
      </c>
      <c r="B2834" s="8" t="s">
        <v>15</v>
      </c>
      <c r="C2834" s="9" t="str">
        <f t="shared" si="60"/>
        <v>230119</v>
      </c>
      <c r="D2834" s="9" t="str">
        <f>"230903909"</f>
        <v>230903909</v>
      </c>
      <c r="E2834" s="10">
        <v>66.98</v>
      </c>
      <c r="F2834" s="10"/>
      <c r="G2834" s="10">
        <v>71</v>
      </c>
      <c r="H2834" s="10"/>
      <c r="I2834" s="10">
        <v>69.39</v>
      </c>
    </row>
    <row r="2835" spans="1:9" s="1" customFormat="1" ht="21.75" customHeight="1">
      <c r="A2835" s="8" t="s">
        <v>19</v>
      </c>
      <c r="B2835" s="8" t="s">
        <v>15</v>
      </c>
      <c r="C2835" s="9" t="str">
        <f t="shared" si="60"/>
        <v>230119</v>
      </c>
      <c r="D2835" s="9" t="str">
        <f>"230903903"</f>
        <v>230903903</v>
      </c>
      <c r="E2835" s="10">
        <v>64.680000000000007</v>
      </c>
      <c r="F2835" s="10"/>
      <c r="G2835" s="10">
        <v>72.5</v>
      </c>
      <c r="H2835" s="10"/>
      <c r="I2835" s="10">
        <v>69.37</v>
      </c>
    </row>
    <row r="2836" spans="1:9" ht="21.75" customHeight="1">
      <c r="A2836" s="8" t="s">
        <v>19</v>
      </c>
      <c r="B2836" s="8" t="s">
        <v>15</v>
      </c>
      <c r="C2836" s="9" t="str">
        <f t="shared" si="60"/>
        <v>230119</v>
      </c>
      <c r="D2836" s="9" t="str">
        <f>"230903916"</f>
        <v>230903916</v>
      </c>
      <c r="E2836" s="10">
        <v>68.27</v>
      </c>
      <c r="F2836" s="10"/>
      <c r="G2836" s="10">
        <v>70</v>
      </c>
      <c r="H2836" s="10"/>
      <c r="I2836" s="10">
        <v>69.31</v>
      </c>
    </row>
    <row r="2837" spans="1:9" ht="21.75" customHeight="1">
      <c r="A2837" s="8" t="s">
        <v>19</v>
      </c>
      <c r="B2837" s="8" t="s">
        <v>15</v>
      </c>
      <c r="C2837" s="9" t="str">
        <f t="shared" si="60"/>
        <v>230119</v>
      </c>
      <c r="D2837" s="9" t="str">
        <f>"230904030"</f>
        <v>230904030</v>
      </c>
      <c r="E2837" s="10">
        <v>60.31</v>
      </c>
      <c r="F2837" s="10"/>
      <c r="G2837" s="10">
        <v>75</v>
      </c>
      <c r="H2837" s="10"/>
      <c r="I2837" s="10">
        <v>69.12</v>
      </c>
    </row>
    <row r="2838" spans="1:9" ht="21.75" customHeight="1">
      <c r="A2838" s="8" t="s">
        <v>19</v>
      </c>
      <c r="B2838" s="8" t="s">
        <v>15</v>
      </c>
      <c r="C2838" s="9" t="str">
        <f t="shared" si="60"/>
        <v>230119</v>
      </c>
      <c r="D2838" s="9" t="str">
        <f>"230904119"</f>
        <v>230904119</v>
      </c>
      <c r="E2838" s="10">
        <v>58.83</v>
      </c>
      <c r="F2838" s="10"/>
      <c r="G2838" s="10">
        <v>75</v>
      </c>
      <c r="H2838" s="10"/>
      <c r="I2838" s="10">
        <v>68.53</v>
      </c>
    </row>
    <row r="2839" spans="1:9" ht="21.75" customHeight="1">
      <c r="A2839" s="8" t="s">
        <v>19</v>
      </c>
      <c r="B2839" s="8" t="s">
        <v>15</v>
      </c>
      <c r="C2839" s="9" t="str">
        <f t="shared" si="60"/>
        <v>230119</v>
      </c>
      <c r="D2839" s="9" t="str">
        <f>"230903828"</f>
        <v>230903828</v>
      </c>
      <c r="E2839" s="10">
        <v>70.540000000000006</v>
      </c>
      <c r="F2839" s="10"/>
      <c r="G2839" s="10">
        <v>67</v>
      </c>
      <c r="H2839" s="10"/>
      <c r="I2839" s="10">
        <v>68.42</v>
      </c>
    </row>
    <row r="2840" spans="1:9" ht="21.75" customHeight="1">
      <c r="A2840" s="8" t="s">
        <v>19</v>
      </c>
      <c r="B2840" s="8" t="s">
        <v>15</v>
      </c>
      <c r="C2840" s="9" t="str">
        <f t="shared" si="60"/>
        <v>230119</v>
      </c>
      <c r="D2840" s="9" t="str">
        <f>"230904127"</f>
        <v>230904127</v>
      </c>
      <c r="E2840" s="10">
        <v>72.39</v>
      </c>
      <c r="F2840" s="10"/>
      <c r="G2840" s="10">
        <v>65.5</v>
      </c>
      <c r="H2840" s="10"/>
      <c r="I2840" s="10">
        <v>68.260000000000005</v>
      </c>
    </row>
    <row r="2841" spans="1:9" ht="21.75" customHeight="1">
      <c r="A2841" s="8" t="s">
        <v>19</v>
      </c>
      <c r="B2841" s="8" t="s">
        <v>15</v>
      </c>
      <c r="C2841" s="9" t="str">
        <f t="shared" si="60"/>
        <v>230119</v>
      </c>
      <c r="D2841" s="9" t="str">
        <f>"230903917"</f>
        <v>230903917</v>
      </c>
      <c r="E2841" s="10">
        <v>67.67</v>
      </c>
      <c r="F2841" s="10"/>
      <c r="G2841" s="10">
        <v>68.5</v>
      </c>
      <c r="H2841" s="10"/>
      <c r="I2841" s="10">
        <v>68.17</v>
      </c>
    </row>
    <row r="2842" spans="1:9" ht="21.75" customHeight="1">
      <c r="A2842" s="8" t="s">
        <v>19</v>
      </c>
      <c r="B2842" s="8" t="s">
        <v>15</v>
      </c>
      <c r="C2842" s="9" t="str">
        <f t="shared" si="60"/>
        <v>230119</v>
      </c>
      <c r="D2842" s="9" t="str">
        <f>"230904314"</f>
        <v>230904314</v>
      </c>
      <c r="E2842" s="10">
        <v>77.22</v>
      </c>
      <c r="F2842" s="10"/>
      <c r="G2842" s="10">
        <v>61</v>
      </c>
      <c r="H2842" s="10"/>
      <c r="I2842" s="10">
        <v>67.489999999999995</v>
      </c>
    </row>
    <row r="2843" spans="1:9" s="1" customFormat="1" ht="21.75" customHeight="1">
      <c r="A2843" s="8" t="s">
        <v>19</v>
      </c>
      <c r="B2843" s="8" t="s">
        <v>15</v>
      </c>
      <c r="C2843" s="9" t="str">
        <f t="shared" si="60"/>
        <v>230119</v>
      </c>
      <c r="D2843" s="9" t="str">
        <f>"230903906"</f>
        <v>230903906</v>
      </c>
      <c r="E2843" s="10">
        <v>68.84</v>
      </c>
      <c r="F2843" s="10"/>
      <c r="G2843" s="10">
        <v>66.5</v>
      </c>
      <c r="H2843" s="10"/>
      <c r="I2843" s="10">
        <v>67.44</v>
      </c>
    </row>
    <row r="2844" spans="1:9" ht="21.75" customHeight="1">
      <c r="A2844" s="8" t="s">
        <v>19</v>
      </c>
      <c r="B2844" s="8" t="s">
        <v>15</v>
      </c>
      <c r="C2844" s="9" t="str">
        <f t="shared" si="60"/>
        <v>230119</v>
      </c>
      <c r="D2844" s="9" t="str">
        <f>"230903915"</f>
        <v>230903915</v>
      </c>
      <c r="E2844" s="10">
        <v>60.89</v>
      </c>
      <c r="F2844" s="10"/>
      <c r="G2844" s="10">
        <v>71.5</v>
      </c>
      <c r="H2844" s="10"/>
      <c r="I2844" s="10">
        <v>67.260000000000005</v>
      </c>
    </row>
    <row r="2845" spans="1:9" ht="21.75" customHeight="1">
      <c r="A2845" s="8" t="s">
        <v>19</v>
      </c>
      <c r="B2845" s="8" t="s">
        <v>15</v>
      </c>
      <c r="C2845" s="9" t="str">
        <f t="shared" si="60"/>
        <v>230119</v>
      </c>
      <c r="D2845" s="9" t="str">
        <f>"230904227"</f>
        <v>230904227</v>
      </c>
      <c r="E2845" s="10">
        <v>64.12</v>
      </c>
      <c r="F2845" s="10"/>
      <c r="G2845" s="10">
        <v>68.5</v>
      </c>
      <c r="H2845" s="10"/>
      <c r="I2845" s="10">
        <v>66.75</v>
      </c>
    </row>
    <row r="2846" spans="1:9" s="1" customFormat="1" ht="21.75" customHeight="1">
      <c r="A2846" s="8" t="s">
        <v>19</v>
      </c>
      <c r="B2846" s="8" t="s">
        <v>15</v>
      </c>
      <c r="C2846" s="9" t="str">
        <f t="shared" si="60"/>
        <v>230119</v>
      </c>
      <c r="D2846" s="9" t="str">
        <f>"230904019"</f>
        <v>230904019</v>
      </c>
      <c r="E2846" s="10">
        <v>59.28</v>
      </c>
      <c r="F2846" s="10"/>
      <c r="G2846" s="10">
        <v>71.5</v>
      </c>
      <c r="H2846" s="10"/>
      <c r="I2846" s="10">
        <v>66.61</v>
      </c>
    </row>
    <row r="2847" spans="1:9" s="1" customFormat="1" ht="21.75" customHeight="1">
      <c r="A2847" s="8" t="s">
        <v>19</v>
      </c>
      <c r="B2847" s="8" t="s">
        <v>15</v>
      </c>
      <c r="C2847" s="9" t="str">
        <f t="shared" si="60"/>
        <v>230119</v>
      </c>
      <c r="D2847" s="9" t="str">
        <f>"230903912"</f>
        <v>230903912</v>
      </c>
      <c r="E2847" s="10">
        <v>56.16</v>
      </c>
      <c r="F2847" s="10"/>
      <c r="G2847" s="10">
        <v>73.5</v>
      </c>
      <c r="H2847" s="10"/>
      <c r="I2847" s="10">
        <v>66.56</v>
      </c>
    </row>
    <row r="2848" spans="1:9" ht="21.75" customHeight="1">
      <c r="A2848" s="8" t="s">
        <v>19</v>
      </c>
      <c r="B2848" s="8" t="s">
        <v>15</v>
      </c>
      <c r="C2848" s="9" t="str">
        <f t="shared" si="60"/>
        <v>230119</v>
      </c>
      <c r="D2848" s="9" t="str">
        <f>"230904106"</f>
        <v>230904106</v>
      </c>
      <c r="E2848" s="10">
        <v>68.150000000000006</v>
      </c>
      <c r="F2848" s="10"/>
      <c r="G2848" s="10">
        <v>65.5</v>
      </c>
      <c r="H2848" s="10"/>
      <c r="I2848" s="10">
        <v>66.56</v>
      </c>
    </row>
    <row r="2849" spans="1:9" ht="21.75" customHeight="1">
      <c r="A2849" s="8" t="s">
        <v>19</v>
      </c>
      <c r="B2849" s="8" t="s">
        <v>15</v>
      </c>
      <c r="C2849" s="9" t="str">
        <f t="shared" si="60"/>
        <v>230119</v>
      </c>
      <c r="D2849" s="9" t="str">
        <f>"230904209"</f>
        <v>230904209</v>
      </c>
      <c r="E2849" s="10">
        <v>65.7</v>
      </c>
      <c r="F2849" s="10"/>
      <c r="G2849" s="10">
        <v>67</v>
      </c>
      <c r="H2849" s="10"/>
      <c r="I2849" s="10">
        <v>66.48</v>
      </c>
    </row>
    <row r="2850" spans="1:9" ht="21.75" customHeight="1">
      <c r="A2850" s="8" t="s">
        <v>19</v>
      </c>
      <c r="B2850" s="8" t="s">
        <v>15</v>
      </c>
      <c r="C2850" s="9" t="str">
        <f t="shared" si="60"/>
        <v>230119</v>
      </c>
      <c r="D2850" s="9" t="str">
        <f>"230904018"</f>
        <v>230904018</v>
      </c>
      <c r="E2850" s="10">
        <v>66.42</v>
      </c>
      <c r="F2850" s="10"/>
      <c r="G2850" s="10">
        <v>66.5</v>
      </c>
      <c r="H2850" s="10"/>
      <c r="I2850" s="10">
        <v>66.47</v>
      </c>
    </row>
    <row r="2851" spans="1:9" ht="21.75" customHeight="1">
      <c r="A2851" s="8" t="s">
        <v>19</v>
      </c>
      <c r="B2851" s="8" t="s">
        <v>15</v>
      </c>
      <c r="C2851" s="9" t="str">
        <f t="shared" si="60"/>
        <v>230119</v>
      </c>
      <c r="D2851" s="9" t="str">
        <f>"230904204"</f>
        <v>230904204</v>
      </c>
      <c r="E2851" s="10">
        <v>56.29</v>
      </c>
      <c r="F2851" s="10"/>
      <c r="G2851" s="10">
        <v>72</v>
      </c>
      <c r="H2851" s="10"/>
      <c r="I2851" s="10">
        <v>65.72</v>
      </c>
    </row>
    <row r="2852" spans="1:9" ht="21.75" customHeight="1">
      <c r="A2852" s="8" t="s">
        <v>19</v>
      </c>
      <c r="B2852" s="8" t="s">
        <v>15</v>
      </c>
      <c r="C2852" s="9" t="str">
        <f t="shared" si="60"/>
        <v>230119</v>
      </c>
      <c r="D2852" s="9" t="str">
        <f>"230904115"</f>
        <v>230904115</v>
      </c>
      <c r="E2852" s="10">
        <v>53.66</v>
      </c>
      <c r="F2852" s="10"/>
      <c r="G2852" s="10">
        <v>73.5</v>
      </c>
      <c r="H2852" s="10"/>
      <c r="I2852" s="10">
        <v>65.56</v>
      </c>
    </row>
    <row r="2853" spans="1:9" ht="21.75" customHeight="1">
      <c r="A2853" s="8" t="s">
        <v>19</v>
      </c>
      <c r="B2853" s="8" t="s">
        <v>15</v>
      </c>
      <c r="C2853" s="9" t="str">
        <f t="shared" si="60"/>
        <v>230119</v>
      </c>
      <c r="D2853" s="9" t="str">
        <f>"230904109"</f>
        <v>230904109</v>
      </c>
      <c r="E2853" s="10">
        <v>62.95</v>
      </c>
      <c r="F2853" s="10"/>
      <c r="G2853" s="10">
        <v>67</v>
      </c>
      <c r="H2853" s="10"/>
      <c r="I2853" s="10">
        <v>65.38</v>
      </c>
    </row>
    <row r="2854" spans="1:9" s="1" customFormat="1" ht="21.75" customHeight="1">
      <c r="A2854" s="8" t="s">
        <v>19</v>
      </c>
      <c r="B2854" s="8" t="s">
        <v>15</v>
      </c>
      <c r="C2854" s="9" t="str">
        <f t="shared" si="60"/>
        <v>230119</v>
      </c>
      <c r="D2854" s="9" t="str">
        <f>"230904122"</f>
        <v>230904122</v>
      </c>
      <c r="E2854" s="10">
        <v>56.06</v>
      </c>
      <c r="F2854" s="10"/>
      <c r="G2854" s="10">
        <v>71</v>
      </c>
      <c r="H2854" s="10"/>
      <c r="I2854" s="10">
        <v>65.02</v>
      </c>
    </row>
    <row r="2855" spans="1:9" ht="21.75" customHeight="1">
      <c r="A2855" s="8" t="s">
        <v>19</v>
      </c>
      <c r="B2855" s="8" t="s">
        <v>15</v>
      </c>
      <c r="C2855" s="9" t="str">
        <f t="shared" si="60"/>
        <v>230119</v>
      </c>
      <c r="D2855" s="9" t="str">
        <f>"230904022"</f>
        <v>230904022</v>
      </c>
      <c r="E2855" s="10">
        <v>56.64</v>
      </c>
      <c r="F2855" s="10"/>
      <c r="G2855" s="10">
        <v>69.5</v>
      </c>
      <c r="H2855" s="10"/>
      <c r="I2855" s="10">
        <v>64.36</v>
      </c>
    </row>
    <row r="2856" spans="1:9" ht="21.75" customHeight="1">
      <c r="A2856" s="8" t="s">
        <v>19</v>
      </c>
      <c r="B2856" s="8" t="s">
        <v>15</v>
      </c>
      <c r="C2856" s="9" t="str">
        <f t="shared" si="60"/>
        <v>230119</v>
      </c>
      <c r="D2856" s="9" t="str">
        <f>"230904113"</f>
        <v>230904113</v>
      </c>
      <c r="E2856" s="10">
        <v>57.19</v>
      </c>
      <c r="F2856" s="10"/>
      <c r="G2856" s="10">
        <v>69</v>
      </c>
      <c r="H2856" s="10"/>
      <c r="I2856" s="10">
        <v>64.28</v>
      </c>
    </row>
    <row r="2857" spans="1:9" ht="21.75" customHeight="1">
      <c r="A2857" s="8" t="s">
        <v>19</v>
      </c>
      <c r="B2857" s="8" t="s">
        <v>15</v>
      </c>
      <c r="C2857" s="9" t="str">
        <f t="shared" si="60"/>
        <v>230119</v>
      </c>
      <c r="D2857" s="9" t="str">
        <f>"230904029"</f>
        <v>230904029</v>
      </c>
      <c r="E2857" s="10">
        <v>60.45</v>
      </c>
      <c r="F2857" s="10"/>
      <c r="G2857" s="10">
        <v>66.5</v>
      </c>
      <c r="H2857" s="10"/>
      <c r="I2857" s="10">
        <v>64.08</v>
      </c>
    </row>
    <row r="2858" spans="1:9" s="1" customFormat="1" ht="21.75" customHeight="1">
      <c r="A2858" s="8" t="s">
        <v>19</v>
      </c>
      <c r="B2858" s="8" t="s">
        <v>15</v>
      </c>
      <c r="C2858" s="9" t="str">
        <f t="shared" ref="C2858:C2889" si="61">"230119"</f>
        <v>230119</v>
      </c>
      <c r="D2858" s="9" t="str">
        <f>"230903904"</f>
        <v>230903904</v>
      </c>
      <c r="E2858" s="10">
        <v>51.81</v>
      </c>
      <c r="F2858" s="10"/>
      <c r="G2858" s="10">
        <v>71.5</v>
      </c>
      <c r="H2858" s="10"/>
      <c r="I2858" s="10">
        <v>63.62</v>
      </c>
    </row>
    <row r="2859" spans="1:9" ht="21.75" customHeight="1">
      <c r="A2859" s="8" t="s">
        <v>19</v>
      </c>
      <c r="B2859" s="8" t="s">
        <v>15</v>
      </c>
      <c r="C2859" s="9" t="str">
        <f t="shared" si="61"/>
        <v>230119</v>
      </c>
      <c r="D2859" s="9" t="str">
        <f>"230904203"</f>
        <v>230904203</v>
      </c>
      <c r="E2859" s="10">
        <v>58</v>
      </c>
      <c r="F2859" s="10"/>
      <c r="G2859" s="10">
        <v>67</v>
      </c>
      <c r="H2859" s="10"/>
      <c r="I2859" s="10">
        <v>63.4</v>
      </c>
    </row>
    <row r="2860" spans="1:9" ht="21.75" customHeight="1">
      <c r="A2860" s="8" t="s">
        <v>19</v>
      </c>
      <c r="B2860" s="8" t="s">
        <v>15</v>
      </c>
      <c r="C2860" s="9" t="str">
        <f t="shared" si="61"/>
        <v>230119</v>
      </c>
      <c r="D2860" s="9" t="str">
        <f>"230903929"</f>
        <v>230903929</v>
      </c>
      <c r="E2860" s="10">
        <v>56.63</v>
      </c>
      <c r="F2860" s="10"/>
      <c r="G2860" s="10">
        <v>65</v>
      </c>
      <c r="H2860" s="10"/>
      <c r="I2860" s="10">
        <v>61.65</v>
      </c>
    </row>
    <row r="2861" spans="1:9" s="1" customFormat="1" ht="21.75" customHeight="1">
      <c r="A2861" s="8" t="s">
        <v>19</v>
      </c>
      <c r="B2861" s="8" t="s">
        <v>15</v>
      </c>
      <c r="C2861" s="9" t="str">
        <f t="shared" si="61"/>
        <v>230119</v>
      </c>
      <c r="D2861" s="9" t="str">
        <f>"230904303"</f>
        <v>230904303</v>
      </c>
      <c r="E2861" s="10">
        <v>50.66</v>
      </c>
      <c r="F2861" s="10"/>
      <c r="G2861" s="10">
        <v>65</v>
      </c>
      <c r="H2861" s="10"/>
      <c r="I2861" s="10">
        <v>59.26</v>
      </c>
    </row>
    <row r="2862" spans="1:9" ht="21.75" customHeight="1">
      <c r="A2862" s="8" t="s">
        <v>19</v>
      </c>
      <c r="B2862" s="8" t="s">
        <v>15</v>
      </c>
      <c r="C2862" s="9" t="str">
        <f t="shared" si="61"/>
        <v>230119</v>
      </c>
      <c r="D2862" s="9" t="str">
        <f>"230903922"</f>
        <v>230903922</v>
      </c>
      <c r="E2862" s="10">
        <v>47.2</v>
      </c>
      <c r="F2862" s="10"/>
      <c r="G2862" s="10">
        <v>8.5</v>
      </c>
      <c r="H2862" s="10"/>
      <c r="I2862" s="10">
        <v>23.98</v>
      </c>
    </row>
    <row r="2863" spans="1:9" s="1" customFormat="1" ht="21.75" customHeight="1">
      <c r="A2863" s="8" t="s">
        <v>19</v>
      </c>
      <c r="B2863" s="8" t="s">
        <v>15</v>
      </c>
      <c r="C2863" s="9" t="str">
        <f t="shared" si="61"/>
        <v>230119</v>
      </c>
      <c r="D2863" s="9" t="str">
        <f>"230903829"</f>
        <v>230903829</v>
      </c>
      <c r="E2863" s="10">
        <v>0</v>
      </c>
      <c r="F2863" s="10"/>
      <c r="G2863" s="10">
        <v>0</v>
      </c>
      <c r="H2863" s="10"/>
      <c r="I2863" s="10">
        <v>0</v>
      </c>
    </row>
    <row r="2864" spans="1:9" ht="21.75" customHeight="1">
      <c r="A2864" s="8" t="s">
        <v>19</v>
      </c>
      <c r="B2864" s="8" t="s">
        <v>15</v>
      </c>
      <c r="C2864" s="9" t="str">
        <f t="shared" si="61"/>
        <v>230119</v>
      </c>
      <c r="D2864" s="9" t="str">
        <f>"230903908"</f>
        <v>230903908</v>
      </c>
      <c r="E2864" s="10">
        <v>0</v>
      </c>
      <c r="F2864" s="10"/>
      <c r="G2864" s="10">
        <v>0</v>
      </c>
      <c r="H2864" s="10"/>
      <c r="I2864" s="10">
        <v>0</v>
      </c>
    </row>
    <row r="2865" spans="1:9" s="1" customFormat="1" ht="21.75" customHeight="1">
      <c r="A2865" s="8" t="s">
        <v>19</v>
      </c>
      <c r="B2865" s="8" t="s">
        <v>15</v>
      </c>
      <c r="C2865" s="9" t="str">
        <f t="shared" si="61"/>
        <v>230119</v>
      </c>
      <c r="D2865" s="9" t="str">
        <f>"230903910"</f>
        <v>230903910</v>
      </c>
      <c r="E2865" s="10">
        <v>0</v>
      </c>
      <c r="F2865" s="10"/>
      <c r="G2865" s="10">
        <v>0</v>
      </c>
      <c r="H2865" s="10"/>
      <c r="I2865" s="10">
        <v>0</v>
      </c>
    </row>
    <row r="2866" spans="1:9" ht="21.75" customHeight="1">
      <c r="A2866" s="8" t="s">
        <v>19</v>
      </c>
      <c r="B2866" s="8" t="s">
        <v>15</v>
      </c>
      <c r="C2866" s="9" t="str">
        <f t="shared" si="61"/>
        <v>230119</v>
      </c>
      <c r="D2866" s="9" t="str">
        <f>"230903914"</f>
        <v>230903914</v>
      </c>
      <c r="E2866" s="10">
        <v>0</v>
      </c>
      <c r="F2866" s="10"/>
      <c r="G2866" s="10">
        <v>0</v>
      </c>
      <c r="H2866" s="10"/>
      <c r="I2866" s="10">
        <v>0</v>
      </c>
    </row>
    <row r="2867" spans="1:9" s="1" customFormat="1" ht="21.75" customHeight="1">
      <c r="A2867" s="8" t="s">
        <v>19</v>
      </c>
      <c r="B2867" s="8" t="s">
        <v>15</v>
      </c>
      <c r="C2867" s="9" t="str">
        <f t="shared" si="61"/>
        <v>230119</v>
      </c>
      <c r="D2867" s="9" t="str">
        <f>"230903919"</f>
        <v>230903919</v>
      </c>
      <c r="E2867" s="10">
        <v>0</v>
      </c>
      <c r="F2867" s="10"/>
      <c r="G2867" s="10">
        <v>0</v>
      </c>
      <c r="H2867" s="10"/>
      <c r="I2867" s="10">
        <v>0</v>
      </c>
    </row>
    <row r="2868" spans="1:9" ht="21.75" customHeight="1">
      <c r="A2868" s="8" t="s">
        <v>19</v>
      </c>
      <c r="B2868" s="8" t="s">
        <v>15</v>
      </c>
      <c r="C2868" s="9" t="str">
        <f t="shared" si="61"/>
        <v>230119</v>
      </c>
      <c r="D2868" s="9" t="str">
        <f>"230903924"</f>
        <v>230903924</v>
      </c>
      <c r="E2868" s="10">
        <v>0</v>
      </c>
      <c r="F2868" s="10"/>
      <c r="G2868" s="10">
        <v>0</v>
      </c>
      <c r="H2868" s="10"/>
      <c r="I2868" s="10">
        <v>0</v>
      </c>
    </row>
    <row r="2869" spans="1:9" s="1" customFormat="1" ht="21.75" customHeight="1">
      <c r="A2869" s="8" t="s">
        <v>19</v>
      </c>
      <c r="B2869" s="8" t="s">
        <v>15</v>
      </c>
      <c r="C2869" s="9" t="str">
        <f t="shared" si="61"/>
        <v>230119</v>
      </c>
      <c r="D2869" s="9" t="str">
        <f>"230903925"</f>
        <v>230903925</v>
      </c>
      <c r="E2869" s="10">
        <v>0</v>
      </c>
      <c r="F2869" s="10"/>
      <c r="G2869" s="10">
        <v>0</v>
      </c>
      <c r="H2869" s="10"/>
      <c r="I2869" s="10">
        <v>0</v>
      </c>
    </row>
    <row r="2870" spans="1:9" ht="21.75" customHeight="1">
      <c r="A2870" s="8" t="s">
        <v>19</v>
      </c>
      <c r="B2870" s="8" t="s">
        <v>15</v>
      </c>
      <c r="C2870" s="9" t="str">
        <f t="shared" si="61"/>
        <v>230119</v>
      </c>
      <c r="D2870" s="9" t="str">
        <f>"230903926"</f>
        <v>230903926</v>
      </c>
      <c r="E2870" s="10">
        <v>0</v>
      </c>
      <c r="F2870" s="10"/>
      <c r="G2870" s="10">
        <v>0</v>
      </c>
      <c r="H2870" s="10"/>
      <c r="I2870" s="10">
        <v>0</v>
      </c>
    </row>
    <row r="2871" spans="1:9" ht="21.75" customHeight="1">
      <c r="A2871" s="8" t="s">
        <v>19</v>
      </c>
      <c r="B2871" s="8" t="s">
        <v>15</v>
      </c>
      <c r="C2871" s="9" t="str">
        <f t="shared" si="61"/>
        <v>230119</v>
      </c>
      <c r="D2871" s="9" t="str">
        <f>"230904001"</f>
        <v>230904001</v>
      </c>
      <c r="E2871" s="10">
        <v>0</v>
      </c>
      <c r="F2871" s="10"/>
      <c r="G2871" s="10">
        <v>0</v>
      </c>
      <c r="H2871" s="10"/>
      <c r="I2871" s="10">
        <v>0</v>
      </c>
    </row>
    <row r="2872" spans="1:9" s="1" customFormat="1" ht="21.75" customHeight="1">
      <c r="A2872" s="8" t="s">
        <v>19</v>
      </c>
      <c r="B2872" s="8" t="s">
        <v>15</v>
      </c>
      <c r="C2872" s="9" t="str">
        <f t="shared" si="61"/>
        <v>230119</v>
      </c>
      <c r="D2872" s="9" t="str">
        <f>"230904007"</f>
        <v>230904007</v>
      </c>
      <c r="E2872" s="10">
        <v>0</v>
      </c>
      <c r="F2872" s="10"/>
      <c r="G2872" s="10">
        <v>0</v>
      </c>
      <c r="H2872" s="10"/>
      <c r="I2872" s="10">
        <v>0</v>
      </c>
    </row>
    <row r="2873" spans="1:9" ht="21.75" customHeight="1">
      <c r="A2873" s="8" t="s">
        <v>19</v>
      </c>
      <c r="B2873" s="8" t="s">
        <v>15</v>
      </c>
      <c r="C2873" s="9" t="str">
        <f t="shared" si="61"/>
        <v>230119</v>
      </c>
      <c r="D2873" s="9" t="str">
        <f>"230904008"</f>
        <v>230904008</v>
      </c>
      <c r="E2873" s="10">
        <v>0</v>
      </c>
      <c r="F2873" s="10"/>
      <c r="G2873" s="10">
        <v>0</v>
      </c>
      <c r="H2873" s="10"/>
      <c r="I2873" s="10">
        <v>0</v>
      </c>
    </row>
    <row r="2874" spans="1:9" s="1" customFormat="1" ht="21.75" customHeight="1">
      <c r="A2874" s="8" t="s">
        <v>19</v>
      </c>
      <c r="B2874" s="8" t="s">
        <v>15</v>
      </c>
      <c r="C2874" s="9" t="str">
        <f t="shared" si="61"/>
        <v>230119</v>
      </c>
      <c r="D2874" s="9" t="str">
        <f>"230904010"</f>
        <v>230904010</v>
      </c>
      <c r="E2874" s="10">
        <v>0</v>
      </c>
      <c r="F2874" s="10"/>
      <c r="G2874" s="10">
        <v>0</v>
      </c>
      <c r="H2874" s="10"/>
      <c r="I2874" s="10">
        <v>0</v>
      </c>
    </row>
    <row r="2875" spans="1:9" s="1" customFormat="1" ht="21.75" customHeight="1">
      <c r="A2875" s="8" t="s">
        <v>19</v>
      </c>
      <c r="B2875" s="8" t="s">
        <v>15</v>
      </c>
      <c r="C2875" s="9" t="str">
        <f t="shared" si="61"/>
        <v>230119</v>
      </c>
      <c r="D2875" s="9" t="str">
        <f>"230904011"</f>
        <v>230904011</v>
      </c>
      <c r="E2875" s="10">
        <v>0</v>
      </c>
      <c r="F2875" s="10"/>
      <c r="G2875" s="10">
        <v>0</v>
      </c>
      <c r="H2875" s="10"/>
      <c r="I2875" s="10">
        <v>0</v>
      </c>
    </row>
    <row r="2876" spans="1:9" ht="21.75" customHeight="1">
      <c r="A2876" s="8" t="s">
        <v>19</v>
      </c>
      <c r="B2876" s="8" t="s">
        <v>15</v>
      </c>
      <c r="C2876" s="9" t="str">
        <f t="shared" si="61"/>
        <v>230119</v>
      </c>
      <c r="D2876" s="9" t="str">
        <f>"230904012"</f>
        <v>230904012</v>
      </c>
      <c r="E2876" s="10">
        <v>0</v>
      </c>
      <c r="F2876" s="10"/>
      <c r="G2876" s="10">
        <v>0</v>
      </c>
      <c r="H2876" s="10"/>
      <c r="I2876" s="10">
        <v>0</v>
      </c>
    </row>
    <row r="2877" spans="1:9" ht="21.75" customHeight="1">
      <c r="A2877" s="8" t="s">
        <v>19</v>
      </c>
      <c r="B2877" s="8" t="s">
        <v>15</v>
      </c>
      <c r="C2877" s="9" t="str">
        <f t="shared" si="61"/>
        <v>230119</v>
      </c>
      <c r="D2877" s="9" t="str">
        <f>"230904015"</f>
        <v>230904015</v>
      </c>
      <c r="E2877" s="10">
        <v>0</v>
      </c>
      <c r="F2877" s="10"/>
      <c r="G2877" s="10">
        <v>0</v>
      </c>
      <c r="H2877" s="10"/>
      <c r="I2877" s="10">
        <v>0</v>
      </c>
    </row>
    <row r="2878" spans="1:9" s="1" customFormat="1" ht="21.75" customHeight="1">
      <c r="A2878" s="8" t="s">
        <v>19</v>
      </c>
      <c r="B2878" s="8" t="s">
        <v>15</v>
      </c>
      <c r="C2878" s="9" t="str">
        <f t="shared" si="61"/>
        <v>230119</v>
      </c>
      <c r="D2878" s="9" t="str">
        <f>"230904017"</f>
        <v>230904017</v>
      </c>
      <c r="E2878" s="10">
        <v>0</v>
      </c>
      <c r="F2878" s="10"/>
      <c r="G2878" s="10">
        <v>0</v>
      </c>
      <c r="H2878" s="10"/>
      <c r="I2878" s="10">
        <v>0</v>
      </c>
    </row>
    <row r="2879" spans="1:9" ht="21.75" customHeight="1">
      <c r="A2879" s="8" t="s">
        <v>19</v>
      </c>
      <c r="B2879" s="8" t="s">
        <v>15</v>
      </c>
      <c r="C2879" s="9" t="str">
        <f t="shared" si="61"/>
        <v>230119</v>
      </c>
      <c r="D2879" s="9" t="str">
        <f>"230904023"</f>
        <v>230904023</v>
      </c>
      <c r="E2879" s="10">
        <v>0</v>
      </c>
      <c r="F2879" s="10"/>
      <c r="G2879" s="10">
        <v>0</v>
      </c>
      <c r="H2879" s="10"/>
      <c r="I2879" s="10">
        <v>0</v>
      </c>
    </row>
    <row r="2880" spans="1:9" ht="21.75" customHeight="1">
      <c r="A2880" s="8" t="s">
        <v>19</v>
      </c>
      <c r="B2880" s="8" t="s">
        <v>15</v>
      </c>
      <c r="C2880" s="9" t="str">
        <f t="shared" si="61"/>
        <v>230119</v>
      </c>
      <c r="D2880" s="9" t="str">
        <f>"230904028"</f>
        <v>230904028</v>
      </c>
      <c r="E2880" s="10">
        <v>0</v>
      </c>
      <c r="F2880" s="10"/>
      <c r="G2880" s="10">
        <v>0</v>
      </c>
      <c r="H2880" s="10"/>
      <c r="I2880" s="10">
        <v>0</v>
      </c>
    </row>
    <row r="2881" spans="1:9" ht="21.75" customHeight="1">
      <c r="A2881" s="8" t="s">
        <v>19</v>
      </c>
      <c r="B2881" s="8" t="s">
        <v>15</v>
      </c>
      <c r="C2881" s="9" t="str">
        <f t="shared" si="61"/>
        <v>230119</v>
      </c>
      <c r="D2881" s="9" t="str">
        <f>"230904102"</f>
        <v>230904102</v>
      </c>
      <c r="E2881" s="10">
        <v>0</v>
      </c>
      <c r="F2881" s="10"/>
      <c r="G2881" s="10">
        <v>0</v>
      </c>
      <c r="H2881" s="10"/>
      <c r="I2881" s="10">
        <v>0</v>
      </c>
    </row>
    <row r="2882" spans="1:9" ht="21.75" customHeight="1">
      <c r="A2882" s="8" t="s">
        <v>19</v>
      </c>
      <c r="B2882" s="8" t="s">
        <v>15</v>
      </c>
      <c r="C2882" s="9" t="str">
        <f t="shared" si="61"/>
        <v>230119</v>
      </c>
      <c r="D2882" s="9" t="str">
        <f>"230904105"</f>
        <v>230904105</v>
      </c>
      <c r="E2882" s="10">
        <v>0</v>
      </c>
      <c r="F2882" s="10"/>
      <c r="G2882" s="10">
        <v>0</v>
      </c>
      <c r="H2882" s="10"/>
      <c r="I2882" s="10">
        <v>0</v>
      </c>
    </row>
    <row r="2883" spans="1:9" s="1" customFormat="1" ht="21.75" customHeight="1">
      <c r="A2883" s="8" t="s">
        <v>19</v>
      </c>
      <c r="B2883" s="8" t="s">
        <v>15</v>
      </c>
      <c r="C2883" s="9" t="str">
        <f t="shared" si="61"/>
        <v>230119</v>
      </c>
      <c r="D2883" s="9" t="str">
        <f>"230904110"</f>
        <v>230904110</v>
      </c>
      <c r="E2883" s="10">
        <v>0</v>
      </c>
      <c r="F2883" s="10"/>
      <c r="G2883" s="10">
        <v>0</v>
      </c>
      <c r="H2883" s="10"/>
      <c r="I2883" s="10">
        <v>0</v>
      </c>
    </row>
    <row r="2884" spans="1:9" ht="21.75" customHeight="1">
      <c r="A2884" s="8" t="s">
        <v>19</v>
      </c>
      <c r="B2884" s="8" t="s">
        <v>15</v>
      </c>
      <c r="C2884" s="9" t="str">
        <f t="shared" si="61"/>
        <v>230119</v>
      </c>
      <c r="D2884" s="9" t="str">
        <f>"230904112"</f>
        <v>230904112</v>
      </c>
      <c r="E2884" s="10">
        <v>0</v>
      </c>
      <c r="F2884" s="10"/>
      <c r="G2884" s="10">
        <v>0</v>
      </c>
      <c r="H2884" s="10"/>
      <c r="I2884" s="10">
        <v>0</v>
      </c>
    </row>
    <row r="2885" spans="1:9" s="1" customFormat="1" ht="21.75" customHeight="1">
      <c r="A2885" s="8" t="s">
        <v>19</v>
      </c>
      <c r="B2885" s="8" t="s">
        <v>15</v>
      </c>
      <c r="C2885" s="9" t="str">
        <f t="shared" si="61"/>
        <v>230119</v>
      </c>
      <c r="D2885" s="9" t="str">
        <f>"230904116"</f>
        <v>230904116</v>
      </c>
      <c r="E2885" s="10">
        <v>0</v>
      </c>
      <c r="F2885" s="10"/>
      <c r="G2885" s="10">
        <v>0</v>
      </c>
      <c r="H2885" s="10"/>
      <c r="I2885" s="10">
        <v>0</v>
      </c>
    </row>
    <row r="2886" spans="1:9" ht="21.75" customHeight="1">
      <c r="A2886" s="8" t="s">
        <v>19</v>
      </c>
      <c r="B2886" s="8" t="s">
        <v>15</v>
      </c>
      <c r="C2886" s="9" t="str">
        <f t="shared" si="61"/>
        <v>230119</v>
      </c>
      <c r="D2886" s="9" t="str">
        <f>"230904117"</f>
        <v>230904117</v>
      </c>
      <c r="E2886" s="10">
        <v>0</v>
      </c>
      <c r="F2886" s="10"/>
      <c r="G2886" s="10">
        <v>0</v>
      </c>
      <c r="H2886" s="10"/>
      <c r="I2886" s="10">
        <v>0</v>
      </c>
    </row>
    <row r="2887" spans="1:9" s="1" customFormat="1" ht="21.75" customHeight="1">
      <c r="A2887" s="8" t="s">
        <v>19</v>
      </c>
      <c r="B2887" s="8" t="s">
        <v>15</v>
      </c>
      <c r="C2887" s="9" t="str">
        <f t="shared" si="61"/>
        <v>230119</v>
      </c>
      <c r="D2887" s="9" t="str">
        <f>"230904125"</f>
        <v>230904125</v>
      </c>
      <c r="E2887" s="10">
        <v>0</v>
      </c>
      <c r="F2887" s="10"/>
      <c r="G2887" s="10">
        <v>0</v>
      </c>
      <c r="H2887" s="10"/>
      <c r="I2887" s="10">
        <v>0</v>
      </c>
    </row>
    <row r="2888" spans="1:9" s="1" customFormat="1" ht="21.75" customHeight="1">
      <c r="A2888" s="8" t="s">
        <v>19</v>
      </c>
      <c r="B2888" s="8" t="s">
        <v>15</v>
      </c>
      <c r="C2888" s="9" t="str">
        <f t="shared" si="61"/>
        <v>230119</v>
      </c>
      <c r="D2888" s="9" t="str">
        <f>"230904129"</f>
        <v>230904129</v>
      </c>
      <c r="E2888" s="10">
        <v>0</v>
      </c>
      <c r="F2888" s="10"/>
      <c r="G2888" s="10">
        <v>0</v>
      </c>
      <c r="H2888" s="10"/>
      <c r="I2888" s="10">
        <v>0</v>
      </c>
    </row>
    <row r="2889" spans="1:9" s="1" customFormat="1" ht="21.75" customHeight="1">
      <c r="A2889" s="8" t="s">
        <v>19</v>
      </c>
      <c r="B2889" s="8" t="s">
        <v>15</v>
      </c>
      <c r="C2889" s="9" t="str">
        <f t="shared" si="61"/>
        <v>230119</v>
      </c>
      <c r="D2889" s="9" t="str">
        <f>"230904130"</f>
        <v>230904130</v>
      </c>
      <c r="E2889" s="10">
        <v>0</v>
      </c>
      <c r="F2889" s="10"/>
      <c r="G2889" s="10">
        <v>0</v>
      </c>
      <c r="H2889" s="10"/>
      <c r="I2889" s="10">
        <v>0</v>
      </c>
    </row>
    <row r="2890" spans="1:9" ht="21.75" customHeight="1">
      <c r="A2890" s="8" t="s">
        <v>19</v>
      </c>
      <c r="B2890" s="8" t="s">
        <v>15</v>
      </c>
      <c r="C2890" s="9" t="str">
        <f t="shared" ref="C2890:C2899" si="62">"230119"</f>
        <v>230119</v>
      </c>
      <c r="D2890" s="9" t="str">
        <f>"230904202"</f>
        <v>230904202</v>
      </c>
      <c r="E2890" s="10">
        <v>0</v>
      </c>
      <c r="F2890" s="10"/>
      <c r="G2890" s="10">
        <v>0</v>
      </c>
      <c r="H2890" s="10"/>
      <c r="I2890" s="10">
        <v>0</v>
      </c>
    </row>
    <row r="2891" spans="1:9" s="1" customFormat="1" ht="21.75" customHeight="1">
      <c r="A2891" s="8" t="s">
        <v>19</v>
      </c>
      <c r="B2891" s="8" t="s">
        <v>15</v>
      </c>
      <c r="C2891" s="9" t="str">
        <f t="shared" si="62"/>
        <v>230119</v>
      </c>
      <c r="D2891" s="9" t="str">
        <f>"230904206"</f>
        <v>230904206</v>
      </c>
      <c r="E2891" s="10">
        <v>0</v>
      </c>
      <c r="F2891" s="10"/>
      <c r="G2891" s="10">
        <v>0</v>
      </c>
      <c r="H2891" s="10"/>
      <c r="I2891" s="10">
        <v>0</v>
      </c>
    </row>
    <row r="2892" spans="1:9" ht="21.75" customHeight="1">
      <c r="A2892" s="8" t="s">
        <v>19</v>
      </c>
      <c r="B2892" s="8" t="s">
        <v>15</v>
      </c>
      <c r="C2892" s="9" t="str">
        <f t="shared" si="62"/>
        <v>230119</v>
      </c>
      <c r="D2892" s="9" t="str">
        <f>"230904207"</f>
        <v>230904207</v>
      </c>
      <c r="E2892" s="10">
        <v>0</v>
      </c>
      <c r="F2892" s="10"/>
      <c r="G2892" s="10">
        <v>0</v>
      </c>
      <c r="H2892" s="10"/>
      <c r="I2892" s="10">
        <v>0</v>
      </c>
    </row>
    <row r="2893" spans="1:9" ht="21.75" customHeight="1">
      <c r="A2893" s="8" t="s">
        <v>19</v>
      </c>
      <c r="B2893" s="8" t="s">
        <v>15</v>
      </c>
      <c r="C2893" s="9" t="str">
        <f t="shared" si="62"/>
        <v>230119</v>
      </c>
      <c r="D2893" s="9" t="str">
        <f>"230904208"</f>
        <v>230904208</v>
      </c>
      <c r="E2893" s="10">
        <v>0</v>
      </c>
      <c r="F2893" s="10"/>
      <c r="G2893" s="10">
        <v>0</v>
      </c>
      <c r="H2893" s="10"/>
      <c r="I2893" s="10">
        <v>0</v>
      </c>
    </row>
    <row r="2894" spans="1:9" s="1" customFormat="1" ht="21.75" customHeight="1">
      <c r="A2894" s="8" t="s">
        <v>19</v>
      </c>
      <c r="B2894" s="8" t="s">
        <v>15</v>
      </c>
      <c r="C2894" s="9" t="str">
        <f t="shared" si="62"/>
        <v>230119</v>
      </c>
      <c r="D2894" s="9" t="str">
        <f>"230904211"</f>
        <v>230904211</v>
      </c>
      <c r="E2894" s="10">
        <v>0</v>
      </c>
      <c r="F2894" s="10"/>
      <c r="G2894" s="10">
        <v>0</v>
      </c>
      <c r="H2894" s="10"/>
      <c r="I2894" s="10">
        <v>0</v>
      </c>
    </row>
    <row r="2895" spans="1:9" s="1" customFormat="1" ht="21.75" customHeight="1">
      <c r="A2895" s="8" t="s">
        <v>19</v>
      </c>
      <c r="B2895" s="8" t="s">
        <v>15</v>
      </c>
      <c r="C2895" s="9" t="str">
        <f t="shared" si="62"/>
        <v>230119</v>
      </c>
      <c r="D2895" s="9" t="str">
        <f>"230904217"</f>
        <v>230904217</v>
      </c>
      <c r="E2895" s="10">
        <v>0</v>
      </c>
      <c r="F2895" s="10"/>
      <c r="G2895" s="10">
        <v>0</v>
      </c>
      <c r="H2895" s="10"/>
      <c r="I2895" s="10">
        <v>0</v>
      </c>
    </row>
    <row r="2896" spans="1:9" ht="21.75" customHeight="1">
      <c r="A2896" s="8" t="s">
        <v>19</v>
      </c>
      <c r="B2896" s="8" t="s">
        <v>15</v>
      </c>
      <c r="C2896" s="9" t="str">
        <f t="shared" si="62"/>
        <v>230119</v>
      </c>
      <c r="D2896" s="9" t="str">
        <f>"230904223"</f>
        <v>230904223</v>
      </c>
      <c r="E2896" s="10">
        <v>0</v>
      </c>
      <c r="F2896" s="10"/>
      <c r="G2896" s="10">
        <v>0</v>
      </c>
      <c r="H2896" s="10"/>
      <c r="I2896" s="10">
        <v>0</v>
      </c>
    </row>
    <row r="2897" spans="1:9" ht="21.75" customHeight="1">
      <c r="A2897" s="8" t="s">
        <v>19</v>
      </c>
      <c r="B2897" s="8" t="s">
        <v>15</v>
      </c>
      <c r="C2897" s="9" t="str">
        <f t="shared" si="62"/>
        <v>230119</v>
      </c>
      <c r="D2897" s="9" t="str">
        <f>"230904229"</f>
        <v>230904229</v>
      </c>
      <c r="E2897" s="10">
        <v>0</v>
      </c>
      <c r="F2897" s="10"/>
      <c r="G2897" s="10">
        <v>0</v>
      </c>
      <c r="H2897" s="10"/>
      <c r="I2897" s="10">
        <v>0</v>
      </c>
    </row>
    <row r="2898" spans="1:9" ht="21.75" customHeight="1">
      <c r="A2898" s="8" t="s">
        <v>19</v>
      </c>
      <c r="B2898" s="8" t="s">
        <v>15</v>
      </c>
      <c r="C2898" s="9" t="str">
        <f t="shared" si="62"/>
        <v>230119</v>
      </c>
      <c r="D2898" s="9" t="str">
        <f>"230904306"</f>
        <v>230904306</v>
      </c>
      <c r="E2898" s="10">
        <v>0</v>
      </c>
      <c r="F2898" s="10"/>
      <c r="G2898" s="10">
        <v>0</v>
      </c>
      <c r="H2898" s="10"/>
      <c r="I2898" s="10">
        <v>0</v>
      </c>
    </row>
    <row r="2899" spans="1:9" ht="21.75" customHeight="1">
      <c r="A2899" s="8" t="s">
        <v>19</v>
      </c>
      <c r="B2899" s="8" t="s">
        <v>15</v>
      </c>
      <c r="C2899" s="9" t="str">
        <f t="shared" si="62"/>
        <v>230119</v>
      </c>
      <c r="D2899" s="9" t="str">
        <f>"230904311"</f>
        <v>230904311</v>
      </c>
      <c r="E2899" s="10">
        <v>0</v>
      </c>
      <c r="F2899" s="10"/>
      <c r="G2899" s="10">
        <v>0</v>
      </c>
      <c r="H2899" s="10"/>
      <c r="I2899" s="10">
        <v>0</v>
      </c>
    </row>
    <row r="2900" spans="1:9" s="3" customFormat="1" ht="21.75" customHeight="1">
      <c r="A2900" s="8" t="s">
        <v>19</v>
      </c>
      <c r="B2900" s="8" t="s">
        <v>16</v>
      </c>
      <c r="C2900" s="9" t="str">
        <f t="shared" ref="C2900:C2931" si="63">"230120"</f>
        <v>230120</v>
      </c>
      <c r="D2900" s="9" t="str">
        <f>"230904510"</f>
        <v>230904510</v>
      </c>
      <c r="E2900" s="10">
        <v>79.17</v>
      </c>
      <c r="F2900" s="10"/>
      <c r="G2900" s="10">
        <v>78.5</v>
      </c>
      <c r="H2900" s="10"/>
      <c r="I2900" s="10">
        <v>78.77</v>
      </c>
    </row>
    <row r="2901" spans="1:9" s="2" customFormat="1" ht="21.75" customHeight="1">
      <c r="A2901" s="8" t="s">
        <v>19</v>
      </c>
      <c r="B2901" s="8" t="s">
        <v>16</v>
      </c>
      <c r="C2901" s="9" t="str">
        <f t="shared" si="63"/>
        <v>230120</v>
      </c>
      <c r="D2901" s="9" t="str">
        <f>"230904425"</f>
        <v>230904425</v>
      </c>
      <c r="E2901" s="10">
        <v>80.099999999999994</v>
      </c>
      <c r="F2901" s="10"/>
      <c r="G2901" s="10">
        <v>76.5</v>
      </c>
      <c r="H2901" s="10"/>
      <c r="I2901" s="10">
        <v>77.94</v>
      </c>
    </row>
    <row r="2902" spans="1:9" s="2" customFormat="1" ht="21.75" customHeight="1">
      <c r="A2902" s="8" t="s">
        <v>19</v>
      </c>
      <c r="B2902" s="8" t="s">
        <v>16</v>
      </c>
      <c r="C2902" s="9" t="str">
        <f t="shared" si="63"/>
        <v>230120</v>
      </c>
      <c r="D2902" s="9" t="str">
        <f>"230904408"</f>
        <v>230904408</v>
      </c>
      <c r="E2902" s="10">
        <v>79.41</v>
      </c>
      <c r="F2902" s="10"/>
      <c r="G2902" s="10">
        <v>76.5</v>
      </c>
      <c r="H2902" s="10"/>
      <c r="I2902" s="10">
        <v>77.66</v>
      </c>
    </row>
    <row r="2903" spans="1:9" s="2" customFormat="1" ht="21.75" customHeight="1">
      <c r="A2903" s="8" t="s">
        <v>19</v>
      </c>
      <c r="B2903" s="8" t="s">
        <v>16</v>
      </c>
      <c r="C2903" s="9" t="str">
        <f t="shared" si="63"/>
        <v>230120</v>
      </c>
      <c r="D2903" s="9" t="str">
        <f>"230904523"</f>
        <v>230904523</v>
      </c>
      <c r="E2903" s="10">
        <v>74.91</v>
      </c>
      <c r="F2903" s="10"/>
      <c r="G2903" s="10">
        <v>79.5</v>
      </c>
      <c r="H2903" s="10"/>
      <c r="I2903" s="10">
        <v>77.66</v>
      </c>
    </row>
    <row r="2904" spans="1:9" s="2" customFormat="1" ht="21.75" customHeight="1">
      <c r="A2904" s="8" t="s">
        <v>19</v>
      </c>
      <c r="B2904" s="8" t="s">
        <v>16</v>
      </c>
      <c r="C2904" s="9" t="str">
        <f t="shared" si="63"/>
        <v>230120</v>
      </c>
      <c r="D2904" s="9" t="str">
        <f>"230904402"</f>
        <v>230904402</v>
      </c>
      <c r="E2904" s="10">
        <v>70.180000000000007</v>
      </c>
      <c r="F2904" s="10"/>
      <c r="G2904" s="10">
        <v>82</v>
      </c>
      <c r="H2904" s="10"/>
      <c r="I2904" s="10">
        <v>77.27</v>
      </c>
    </row>
    <row r="2905" spans="1:9" s="2" customFormat="1" ht="21.75" customHeight="1">
      <c r="A2905" s="8" t="s">
        <v>19</v>
      </c>
      <c r="B2905" s="8" t="s">
        <v>16</v>
      </c>
      <c r="C2905" s="9" t="str">
        <f t="shared" si="63"/>
        <v>230120</v>
      </c>
      <c r="D2905" s="9" t="str">
        <f>"230904330"</f>
        <v>230904330</v>
      </c>
      <c r="E2905" s="10">
        <v>75.260000000000005</v>
      </c>
      <c r="F2905" s="10"/>
      <c r="G2905" s="10">
        <v>78.5</v>
      </c>
      <c r="H2905" s="10"/>
      <c r="I2905" s="10">
        <v>77.2</v>
      </c>
    </row>
    <row r="2906" spans="1:9" s="2" customFormat="1" ht="21.75" customHeight="1">
      <c r="A2906" s="8" t="s">
        <v>19</v>
      </c>
      <c r="B2906" s="8" t="s">
        <v>16</v>
      </c>
      <c r="C2906" s="9" t="str">
        <f t="shared" si="63"/>
        <v>230120</v>
      </c>
      <c r="D2906" s="9" t="str">
        <f>"230904409"</f>
        <v>230904409</v>
      </c>
      <c r="E2906" s="10">
        <v>72.040000000000006</v>
      </c>
      <c r="F2906" s="10"/>
      <c r="G2906" s="10">
        <v>80</v>
      </c>
      <c r="H2906" s="10"/>
      <c r="I2906" s="10">
        <v>76.819999999999993</v>
      </c>
    </row>
    <row r="2907" spans="1:9" s="3" customFormat="1" ht="21.75" customHeight="1">
      <c r="A2907" s="8" t="s">
        <v>19</v>
      </c>
      <c r="B2907" s="8" t="s">
        <v>16</v>
      </c>
      <c r="C2907" s="9" t="str">
        <f t="shared" si="63"/>
        <v>230120</v>
      </c>
      <c r="D2907" s="9" t="str">
        <f>"230904423"</f>
        <v>230904423</v>
      </c>
      <c r="E2907" s="10">
        <v>75.7</v>
      </c>
      <c r="F2907" s="10"/>
      <c r="G2907" s="10">
        <v>76.5</v>
      </c>
      <c r="H2907" s="10"/>
      <c r="I2907" s="10">
        <v>76.180000000000007</v>
      </c>
    </row>
    <row r="2908" spans="1:9" s="3" customFormat="1" ht="21.75" customHeight="1">
      <c r="A2908" s="8" t="s">
        <v>19</v>
      </c>
      <c r="B2908" s="8" t="s">
        <v>16</v>
      </c>
      <c r="C2908" s="9" t="str">
        <f t="shared" si="63"/>
        <v>230120</v>
      </c>
      <c r="D2908" s="9" t="str">
        <f>"230904507"</f>
        <v>230904507</v>
      </c>
      <c r="E2908" s="10">
        <v>72.95</v>
      </c>
      <c r="F2908" s="10"/>
      <c r="G2908" s="10">
        <v>78</v>
      </c>
      <c r="H2908" s="10"/>
      <c r="I2908" s="10">
        <v>75.98</v>
      </c>
    </row>
    <row r="2909" spans="1:9" s="3" customFormat="1" ht="21.75" customHeight="1">
      <c r="A2909" s="8" t="s">
        <v>19</v>
      </c>
      <c r="B2909" s="8" t="s">
        <v>16</v>
      </c>
      <c r="C2909" s="9" t="str">
        <f t="shared" si="63"/>
        <v>230120</v>
      </c>
      <c r="D2909" s="9" t="str">
        <f>"230904415"</f>
        <v>230904415</v>
      </c>
      <c r="E2909" s="10">
        <v>71.599999999999994</v>
      </c>
      <c r="F2909" s="10"/>
      <c r="G2909" s="10">
        <v>78.5</v>
      </c>
      <c r="H2909" s="10"/>
      <c r="I2909" s="10">
        <v>75.739999999999995</v>
      </c>
    </row>
    <row r="2910" spans="1:9" s="2" customFormat="1" ht="21.75" customHeight="1">
      <c r="A2910" s="8" t="s">
        <v>19</v>
      </c>
      <c r="B2910" s="8" t="s">
        <v>16</v>
      </c>
      <c r="C2910" s="9" t="str">
        <f t="shared" si="63"/>
        <v>230120</v>
      </c>
      <c r="D2910" s="9" t="str">
        <f>"230904323"</f>
        <v>230904323</v>
      </c>
      <c r="E2910" s="10">
        <v>69.41</v>
      </c>
      <c r="F2910" s="10"/>
      <c r="G2910" s="10">
        <v>78</v>
      </c>
      <c r="H2910" s="10"/>
      <c r="I2910" s="10">
        <v>74.56</v>
      </c>
    </row>
    <row r="2911" spans="1:9" s="2" customFormat="1" ht="21.75" customHeight="1">
      <c r="A2911" s="8" t="s">
        <v>19</v>
      </c>
      <c r="B2911" s="8" t="s">
        <v>16</v>
      </c>
      <c r="C2911" s="9" t="str">
        <f t="shared" si="63"/>
        <v>230120</v>
      </c>
      <c r="D2911" s="9" t="str">
        <f>"230904520"</f>
        <v>230904520</v>
      </c>
      <c r="E2911" s="10">
        <v>69.63</v>
      </c>
      <c r="F2911" s="10"/>
      <c r="G2911" s="10">
        <v>77.5</v>
      </c>
      <c r="H2911" s="10"/>
      <c r="I2911" s="10">
        <v>74.349999999999994</v>
      </c>
    </row>
    <row r="2912" spans="1:9" s="3" customFormat="1" ht="21.75" customHeight="1">
      <c r="A2912" s="8" t="s">
        <v>19</v>
      </c>
      <c r="B2912" s="8" t="s">
        <v>16</v>
      </c>
      <c r="C2912" s="9" t="str">
        <f t="shared" si="63"/>
        <v>230120</v>
      </c>
      <c r="D2912" s="9" t="str">
        <f>"230904525"</f>
        <v>230904525</v>
      </c>
      <c r="E2912" s="10">
        <v>70.989999999999995</v>
      </c>
      <c r="F2912" s="10"/>
      <c r="G2912" s="10">
        <v>76.5</v>
      </c>
      <c r="H2912" s="10"/>
      <c r="I2912" s="10">
        <v>74.3</v>
      </c>
    </row>
    <row r="2913" spans="1:9" s="3" customFormat="1" ht="21.75" customHeight="1">
      <c r="A2913" s="8" t="s">
        <v>19</v>
      </c>
      <c r="B2913" s="8" t="s">
        <v>16</v>
      </c>
      <c r="C2913" s="9" t="str">
        <f t="shared" si="63"/>
        <v>230120</v>
      </c>
      <c r="D2913" s="9" t="str">
        <f>"230904412"</f>
        <v>230904412</v>
      </c>
      <c r="E2913" s="10">
        <v>67.56</v>
      </c>
      <c r="F2913" s="10"/>
      <c r="G2913" s="10">
        <v>78.5</v>
      </c>
      <c r="H2913" s="10"/>
      <c r="I2913" s="10">
        <v>74.12</v>
      </c>
    </row>
    <row r="2914" spans="1:9" s="3" customFormat="1" ht="21.75" customHeight="1">
      <c r="A2914" s="8" t="s">
        <v>19</v>
      </c>
      <c r="B2914" s="8" t="s">
        <v>16</v>
      </c>
      <c r="C2914" s="9" t="str">
        <f t="shared" si="63"/>
        <v>230120</v>
      </c>
      <c r="D2914" s="9" t="str">
        <f>"230904422"</f>
        <v>230904422</v>
      </c>
      <c r="E2914" s="10">
        <v>71.239999999999995</v>
      </c>
      <c r="F2914" s="10"/>
      <c r="G2914" s="10">
        <v>76</v>
      </c>
      <c r="H2914" s="10"/>
      <c r="I2914" s="10">
        <v>74.099999999999994</v>
      </c>
    </row>
    <row r="2915" spans="1:9" s="2" customFormat="1" ht="21.75" customHeight="1">
      <c r="A2915" s="8" t="s">
        <v>19</v>
      </c>
      <c r="B2915" s="8" t="s">
        <v>16</v>
      </c>
      <c r="C2915" s="9" t="str">
        <f t="shared" si="63"/>
        <v>230120</v>
      </c>
      <c r="D2915" s="9" t="str">
        <f>"230904429"</f>
        <v>230904429</v>
      </c>
      <c r="E2915" s="10">
        <v>74</v>
      </c>
      <c r="F2915" s="10"/>
      <c r="G2915" s="10">
        <v>73.5</v>
      </c>
      <c r="H2915" s="10"/>
      <c r="I2915" s="10">
        <v>73.7</v>
      </c>
    </row>
    <row r="2916" spans="1:9" s="2" customFormat="1" ht="21.75" customHeight="1">
      <c r="A2916" s="8" t="s">
        <v>19</v>
      </c>
      <c r="B2916" s="8" t="s">
        <v>16</v>
      </c>
      <c r="C2916" s="9" t="str">
        <f t="shared" si="63"/>
        <v>230120</v>
      </c>
      <c r="D2916" s="9" t="str">
        <f>"230904521"</f>
        <v>230904521</v>
      </c>
      <c r="E2916" s="10">
        <v>70.900000000000006</v>
      </c>
      <c r="F2916" s="10"/>
      <c r="G2916" s="10">
        <v>75.5</v>
      </c>
      <c r="H2916" s="10"/>
      <c r="I2916" s="10">
        <v>73.66</v>
      </c>
    </row>
    <row r="2917" spans="1:9" s="2" customFormat="1" ht="21.75" customHeight="1">
      <c r="A2917" s="8" t="s">
        <v>19</v>
      </c>
      <c r="B2917" s="8" t="s">
        <v>16</v>
      </c>
      <c r="C2917" s="9" t="str">
        <f t="shared" si="63"/>
        <v>230120</v>
      </c>
      <c r="D2917" s="9" t="str">
        <f>"230904428"</f>
        <v>230904428</v>
      </c>
      <c r="E2917" s="10">
        <v>64.45</v>
      </c>
      <c r="F2917" s="10"/>
      <c r="G2917" s="10">
        <v>79</v>
      </c>
      <c r="H2917" s="10"/>
      <c r="I2917" s="10">
        <v>73.180000000000007</v>
      </c>
    </row>
    <row r="2918" spans="1:9" s="3" customFormat="1" ht="21.75" customHeight="1">
      <c r="A2918" s="8" t="s">
        <v>19</v>
      </c>
      <c r="B2918" s="8" t="s">
        <v>16</v>
      </c>
      <c r="C2918" s="9" t="str">
        <f t="shared" si="63"/>
        <v>230120</v>
      </c>
      <c r="D2918" s="9" t="str">
        <f>"230904430"</f>
        <v>230904430</v>
      </c>
      <c r="E2918" s="10">
        <v>74.81</v>
      </c>
      <c r="F2918" s="10"/>
      <c r="G2918" s="10">
        <v>72</v>
      </c>
      <c r="H2918" s="10"/>
      <c r="I2918" s="10">
        <v>73.12</v>
      </c>
    </row>
    <row r="2919" spans="1:9" s="3" customFormat="1" ht="21.75" customHeight="1">
      <c r="A2919" s="8" t="s">
        <v>19</v>
      </c>
      <c r="B2919" s="8" t="s">
        <v>16</v>
      </c>
      <c r="C2919" s="9" t="str">
        <f t="shared" si="63"/>
        <v>230120</v>
      </c>
      <c r="D2919" s="9" t="str">
        <f>"230904514"</f>
        <v>230904514</v>
      </c>
      <c r="E2919" s="10">
        <v>73.650000000000006</v>
      </c>
      <c r="F2919" s="10"/>
      <c r="G2919" s="10">
        <v>72.5</v>
      </c>
      <c r="H2919" s="10"/>
      <c r="I2919" s="10">
        <v>72.959999999999994</v>
      </c>
    </row>
    <row r="2920" spans="1:9" s="3" customFormat="1" ht="21.75" customHeight="1">
      <c r="A2920" s="8" t="s">
        <v>19</v>
      </c>
      <c r="B2920" s="8" t="s">
        <v>16</v>
      </c>
      <c r="C2920" s="9" t="str">
        <f t="shared" si="63"/>
        <v>230120</v>
      </c>
      <c r="D2920" s="9" t="str">
        <f>"230904414"</f>
        <v>230904414</v>
      </c>
      <c r="E2920" s="10">
        <v>71.59</v>
      </c>
      <c r="F2920" s="10"/>
      <c r="G2920" s="10">
        <v>73.5</v>
      </c>
      <c r="H2920" s="10"/>
      <c r="I2920" s="10">
        <v>72.739999999999995</v>
      </c>
    </row>
    <row r="2921" spans="1:9" s="2" customFormat="1" ht="21.75" customHeight="1">
      <c r="A2921" s="8" t="s">
        <v>19</v>
      </c>
      <c r="B2921" s="8" t="s">
        <v>16</v>
      </c>
      <c r="C2921" s="9" t="str">
        <f t="shared" si="63"/>
        <v>230120</v>
      </c>
      <c r="D2921" s="9" t="str">
        <f>"230904410"</f>
        <v>230904410</v>
      </c>
      <c r="E2921" s="10">
        <v>74.56</v>
      </c>
      <c r="F2921" s="10"/>
      <c r="G2921" s="10">
        <v>71.5</v>
      </c>
      <c r="H2921" s="10"/>
      <c r="I2921" s="10">
        <v>72.72</v>
      </c>
    </row>
    <row r="2922" spans="1:9" s="2" customFormat="1" ht="21.75" customHeight="1">
      <c r="A2922" s="8" t="s">
        <v>19</v>
      </c>
      <c r="B2922" s="8" t="s">
        <v>16</v>
      </c>
      <c r="C2922" s="9" t="str">
        <f t="shared" si="63"/>
        <v>230120</v>
      </c>
      <c r="D2922" s="9" t="str">
        <f>"230904417"</f>
        <v>230904417</v>
      </c>
      <c r="E2922" s="10">
        <v>75.959999999999994</v>
      </c>
      <c r="F2922" s="10"/>
      <c r="G2922" s="10">
        <v>70</v>
      </c>
      <c r="H2922" s="10"/>
      <c r="I2922" s="10">
        <v>72.38</v>
      </c>
    </row>
    <row r="2923" spans="1:9" s="2" customFormat="1" ht="21.75" customHeight="1">
      <c r="A2923" s="8" t="s">
        <v>19</v>
      </c>
      <c r="B2923" s="8" t="s">
        <v>16</v>
      </c>
      <c r="C2923" s="9" t="str">
        <f t="shared" si="63"/>
        <v>230120</v>
      </c>
      <c r="D2923" s="9" t="str">
        <f>"230904411"</f>
        <v>230904411</v>
      </c>
      <c r="E2923" s="10">
        <v>64.44</v>
      </c>
      <c r="F2923" s="10"/>
      <c r="G2923" s="10">
        <v>77.5</v>
      </c>
      <c r="H2923" s="10"/>
      <c r="I2923" s="10">
        <v>72.28</v>
      </c>
    </row>
    <row r="2924" spans="1:9" s="2" customFormat="1" ht="21.75" customHeight="1">
      <c r="A2924" s="8" t="s">
        <v>19</v>
      </c>
      <c r="B2924" s="8" t="s">
        <v>16</v>
      </c>
      <c r="C2924" s="9" t="str">
        <f t="shared" si="63"/>
        <v>230120</v>
      </c>
      <c r="D2924" s="9" t="str">
        <f>"230904508"</f>
        <v>230904508</v>
      </c>
      <c r="E2924" s="10">
        <v>67.900000000000006</v>
      </c>
      <c r="F2924" s="10"/>
      <c r="G2924" s="10">
        <v>75</v>
      </c>
      <c r="H2924" s="10"/>
      <c r="I2924" s="10">
        <v>72.16</v>
      </c>
    </row>
    <row r="2925" spans="1:9" s="2" customFormat="1" ht="21.75" customHeight="1">
      <c r="A2925" s="8" t="s">
        <v>19</v>
      </c>
      <c r="B2925" s="8" t="s">
        <v>16</v>
      </c>
      <c r="C2925" s="9" t="str">
        <f t="shared" si="63"/>
        <v>230120</v>
      </c>
      <c r="D2925" s="9" t="str">
        <f>"230904526"</f>
        <v>230904526</v>
      </c>
      <c r="E2925" s="10">
        <v>68.61</v>
      </c>
      <c r="F2925" s="10"/>
      <c r="G2925" s="10">
        <v>74.5</v>
      </c>
      <c r="H2925" s="10"/>
      <c r="I2925" s="10">
        <v>72.14</v>
      </c>
    </row>
    <row r="2926" spans="1:9" s="3" customFormat="1" ht="21.75" customHeight="1">
      <c r="A2926" s="8" t="s">
        <v>19</v>
      </c>
      <c r="B2926" s="8" t="s">
        <v>16</v>
      </c>
      <c r="C2926" s="9" t="str">
        <f t="shared" si="63"/>
        <v>230120</v>
      </c>
      <c r="D2926" s="9" t="str">
        <f>"230904515"</f>
        <v>230904515</v>
      </c>
      <c r="E2926" s="10">
        <v>74.22</v>
      </c>
      <c r="F2926" s="10"/>
      <c r="G2926" s="10">
        <v>70</v>
      </c>
      <c r="H2926" s="10"/>
      <c r="I2926" s="10">
        <v>71.69</v>
      </c>
    </row>
    <row r="2927" spans="1:9" s="3" customFormat="1" ht="21.75" customHeight="1">
      <c r="A2927" s="8" t="s">
        <v>19</v>
      </c>
      <c r="B2927" s="8" t="s">
        <v>16</v>
      </c>
      <c r="C2927" s="9" t="str">
        <f t="shared" si="63"/>
        <v>230120</v>
      </c>
      <c r="D2927" s="9" t="str">
        <f>"230904401"</f>
        <v>230904401</v>
      </c>
      <c r="E2927" s="10">
        <v>63.53</v>
      </c>
      <c r="F2927" s="10"/>
      <c r="G2927" s="10">
        <v>77</v>
      </c>
      <c r="H2927" s="10"/>
      <c r="I2927" s="10">
        <v>71.61</v>
      </c>
    </row>
    <row r="2928" spans="1:9" s="2" customFormat="1" ht="21.75" customHeight="1">
      <c r="A2928" s="8" t="s">
        <v>19</v>
      </c>
      <c r="B2928" s="8" t="s">
        <v>16</v>
      </c>
      <c r="C2928" s="9" t="str">
        <f t="shared" si="63"/>
        <v>230120</v>
      </c>
      <c r="D2928" s="9" t="str">
        <f>"230904503"</f>
        <v>230904503</v>
      </c>
      <c r="E2928" s="10">
        <v>69.39</v>
      </c>
      <c r="F2928" s="10"/>
      <c r="G2928" s="10">
        <v>73</v>
      </c>
      <c r="H2928" s="10"/>
      <c r="I2928" s="10">
        <v>71.56</v>
      </c>
    </row>
    <row r="2929" spans="1:9" s="2" customFormat="1" ht="21.75" customHeight="1">
      <c r="A2929" s="8" t="s">
        <v>19</v>
      </c>
      <c r="B2929" s="8" t="s">
        <v>16</v>
      </c>
      <c r="C2929" s="9" t="str">
        <f t="shared" si="63"/>
        <v>230120</v>
      </c>
      <c r="D2929" s="9" t="str">
        <f>"230904404"</f>
        <v>230904404</v>
      </c>
      <c r="E2929" s="10">
        <v>72.39</v>
      </c>
      <c r="F2929" s="10"/>
      <c r="G2929" s="10">
        <v>70.5</v>
      </c>
      <c r="H2929" s="10"/>
      <c r="I2929" s="10">
        <v>71.260000000000005</v>
      </c>
    </row>
    <row r="2930" spans="1:9" s="2" customFormat="1" ht="21.75" customHeight="1">
      <c r="A2930" s="8" t="s">
        <v>19</v>
      </c>
      <c r="B2930" s="8" t="s">
        <v>16</v>
      </c>
      <c r="C2930" s="9" t="str">
        <f t="shared" si="63"/>
        <v>230120</v>
      </c>
      <c r="D2930" s="9" t="str">
        <f>"230904518"</f>
        <v>230904518</v>
      </c>
      <c r="E2930" s="10">
        <v>69.27</v>
      </c>
      <c r="F2930" s="10"/>
      <c r="G2930" s="10">
        <v>72.5</v>
      </c>
      <c r="H2930" s="10"/>
      <c r="I2930" s="10">
        <v>71.209999999999994</v>
      </c>
    </row>
    <row r="2931" spans="1:9" s="3" customFormat="1" ht="21.75" customHeight="1">
      <c r="A2931" s="8" t="s">
        <v>19</v>
      </c>
      <c r="B2931" s="8" t="s">
        <v>16</v>
      </c>
      <c r="C2931" s="9" t="str">
        <f t="shared" si="63"/>
        <v>230120</v>
      </c>
      <c r="D2931" s="9" t="str">
        <f>"230904512"</f>
        <v>230904512</v>
      </c>
      <c r="E2931" s="10">
        <v>71.12</v>
      </c>
      <c r="F2931" s="10"/>
      <c r="G2931" s="10">
        <v>71</v>
      </c>
      <c r="H2931" s="10"/>
      <c r="I2931" s="10">
        <v>71.05</v>
      </c>
    </row>
    <row r="2932" spans="1:9" s="2" customFormat="1" ht="21.75" customHeight="1">
      <c r="A2932" s="8" t="s">
        <v>19</v>
      </c>
      <c r="B2932" s="8" t="s">
        <v>16</v>
      </c>
      <c r="C2932" s="9" t="str">
        <f t="shared" ref="C2932:C2963" si="64">"230120"</f>
        <v>230120</v>
      </c>
      <c r="D2932" s="9" t="str">
        <f>"230904403"</f>
        <v>230904403</v>
      </c>
      <c r="E2932" s="10">
        <v>66.28</v>
      </c>
      <c r="F2932" s="10"/>
      <c r="G2932" s="10">
        <v>74</v>
      </c>
      <c r="H2932" s="10"/>
      <c r="I2932" s="10">
        <v>70.91</v>
      </c>
    </row>
    <row r="2933" spans="1:9" s="3" customFormat="1" ht="21.75" customHeight="1">
      <c r="A2933" s="8" t="s">
        <v>19</v>
      </c>
      <c r="B2933" s="8" t="s">
        <v>16</v>
      </c>
      <c r="C2933" s="9" t="str">
        <f t="shared" si="64"/>
        <v>230120</v>
      </c>
      <c r="D2933" s="9" t="str">
        <f>"230904316"</f>
        <v>230904316</v>
      </c>
      <c r="E2933" s="10">
        <v>69.040000000000006</v>
      </c>
      <c r="F2933" s="10"/>
      <c r="G2933" s="10">
        <v>72</v>
      </c>
      <c r="H2933" s="10"/>
      <c r="I2933" s="10">
        <v>70.819999999999993</v>
      </c>
    </row>
    <row r="2934" spans="1:9" s="2" customFormat="1" ht="21.75" customHeight="1">
      <c r="A2934" s="8" t="s">
        <v>19</v>
      </c>
      <c r="B2934" s="8" t="s">
        <v>16</v>
      </c>
      <c r="C2934" s="9" t="str">
        <f t="shared" si="64"/>
        <v>230120</v>
      </c>
      <c r="D2934" s="9" t="str">
        <f>"230904419"</f>
        <v>230904419</v>
      </c>
      <c r="E2934" s="10">
        <v>66.510000000000005</v>
      </c>
      <c r="F2934" s="10"/>
      <c r="G2934" s="10">
        <v>73.5</v>
      </c>
      <c r="H2934" s="10"/>
      <c r="I2934" s="10">
        <v>70.7</v>
      </c>
    </row>
    <row r="2935" spans="1:9" s="3" customFormat="1" ht="21.75" customHeight="1">
      <c r="A2935" s="8" t="s">
        <v>19</v>
      </c>
      <c r="B2935" s="8" t="s">
        <v>16</v>
      </c>
      <c r="C2935" s="9" t="str">
        <f t="shared" si="64"/>
        <v>230120</v>
      </c>
      <c r="D2935" s="9" t="str">
        <f>"230904416"</f>
        <v>230904416</v>
      </c>
      <c r="E2935" s="10">
        <v>72.290000000000006</v>
      </c>
      <c r="F2935" s="10"/>
      <c r="G2935" s="10">
        <v>69.5</v>
      </c>
      <c r="H2935" s="10"/>
      <c r="I2935" s="10">
        <v>70.62</v>
      </c>
    </row>
    <row r="2936" spans="1:9" s="2" customFormat="1" ht="21.75" customHeight="1">
      <c r="A2936" s="8" t="s">
        <v>19</v>
      </c>
      <c r="B2936" s="8" t="s">
        <v>16</v>
      </c>
      <c r="C2936" s="9" t="str">
        <f t="shared" si="64"/>
        <v>230120</v>
      </c>
      <c r="D2936" s="9" t="str">
        <f>"230904517"</f>
        <v>230904517</v>
      </c>
      <c r="E2936" s="10">
        <v>68.709999999999994</v>
      </c>
      <c r="F2936" s="10"/>
      <c r="G2936" s="10">
        <v>71.5</v>
      </c>
      <c r="H2936" s="10"/>
      <c r="I2936" s="10">
        <v>70.38</v>
      </c>
    </row>
    <row r="2937" spans="1:9" s="2" customFormat="1" ht="21.75" customHeight="1">
      <c r="A2937" s="8" t="s">
        <v>19</v>
      </c>
      <c r="B2937" s="8" t="s">
        <v>16</v>
      </c>
      <c r="C2937" s="9" t="str">
        <f t="shared" si="64"/>
        <v>230120</v>
      </c>
      <c r="D2937" s="9" t="str">
        <f>"230904329"</f>
        <v>230904329</v>
      </c>
      <c r="E2937" s="10">
        <v>65.61</v>
      </c>
      <c r="F2937" s="10"/>
      <c r="G2937" s="10">
        <v>73.5</v>
      </c>
      <c r="H2937" s="10"/>
      <c r="I2937" s="10">
        <v>70.34</v>
      </c>
    </row>
    <row r="2938" spans="1:9" s="2" customFormat="1" ht="21.75" customHeight="1">
      <c r="A2938" s="8" t="s">
        <v>19</v>
      </c>
      <c r="B2938" s="8" t="s">
        <v>16</v>
      </c>
      <c r="C2938" s="9" t="str">
        <f t="shared" si="64"/>
        <v>230120</v>
      </c>
      <c r="D2938" s="9" t="str">
        <f>"230904516"</f>
        <v>230904516</v>
      </c>
      <c r="E2938" s="10">
        <v>61.22</v>
      </c>
      <c r="F2938" s="10"/>
      <c r="G2938" s="10">
        <v>76</v>
      </c>
      <c r="H2938" s="10"/>
      <c r="I2938" s="10">
        <v>70.09</v>
      </c>
    </row>
    <row r="2939" spans="1:9" s="2" customFormat="1" ht="21.75" customHeight="1">
      <c r="A2939" s="8" t="s">
        <v>19</v>
      </c>
      <c r="B2939" s="8" t="s">
        <v>16</v>
      </c>
      <c r="C2939" s="9" t="str">
        <f t="shared" si="64"/>
        <v>230120</v>
      </c>
      <c r="D2939" s="9" t="str">
        <f>"230904506"</f>
        <v>230904506</v>
      </c>
      <c r="E2939" s="10">
        <v>67.89</v>
      </c>
      <c r="F2939" s="10"/>
      <c r="G2939" s="10">
        <v>71.5</v>
      </c>
      <c r="H2939" s="10"/>
      <c r="I2939" s="10">
        <v>70.06</v>
      </c>
    </row>
    <row r="2940" spans="1:9" s="2" customFormat="1" ht="21.75" customHeight="1">
      <c r="A2940" s="8" t="s">
        <v>19</v>
      </c>
      <c r="B2940" s="8" t="s">
        <v>16</v>
      </c>
      <c r="C2940" s="9" t="str">
        <f t="shared" si="64"/>
        <v>230120</v>
      </c>
      <c r="D2940" s="9" t="str">
        <f>"230904327"</f>
        <v>230904327</v>
      </c>
      <c r="E2940" s="10">
        <v>65.709999999999994</v>
      </c>
      <c r="F2940" s="10"/>
      <c r="G2940" s="10">
        <v>72.5</v>
      </c>
      <c r="H2940" s="10"/>
      <c r="I2940" s="10">
        <v>69.78</v>
      </c>
    </row>
    <row r="2941" spans="1:9" s="3" customFormat="1" ht="21.75" customHeight="1">
      <c r="A2941" s="8" t="s">
        <v>19</v>
      </c>
      <c r="B2941" s="8" t="s">
        <v>16</v>
      </c>
      <c r="C2941" s="9" t="str">
        <f t="shared" si="64"/>
        <v>230120</v>
      </c>
      <c r="D2941" s="9" t="str">
        <f>"230904418"</f>
        <v>230904418</v>
      </c>
      <c r="E2941" s="10">
        <v>65.84</v>
      </c>
      <c r="F2941" s="10"/>
      <c r="G2941" s="10">
        <v>72</v>
      </c>
      <c r="H2941" s="10"/>
      <c r="I2941" s="10">
        <v>69.540000000000006</v>
      </c>
    </row>
    <row r="2942" spans="1:9" s="2" customFormat="1" ht="21.75" customHeight="1">
      <c r="A2942" s="8" t="s">
        <v>19</v>
      </c>
      <c r="B2942" s="8" t="s">
        <v>16</v>
      </c>
      <c r="C2942" s="9" t="str">
        <f t="shared" si="64"/>
        <v>230120</v>
      </c>
      <c r="D2942" s="9" t="str">
        <f>"230904319"</f>
        <v>230904319</v>
      </c>
      <c r="E2942" s="10">
        <v>65.94</v>
      </c>
      <c r="F2942" s="10"/>
      <c r="G2942" s="10">
        <v>71.5</v>
      </c>
      <c r="H2942" s="10"/>
      <c r="I2942" s="10">
        <v>69.28</v>
      </c>
    </row>
    <row r="2943" spans="1:9" s="2" customFormat="1" ht="21.75" customHeight="1">
      <c r="A2943" s="8" t="s">
        <v>19</v>
      </c>
      <c r="B2943" s="8" t="s">
        <v>16</v>
      </c>
      <c r="C2943" s="9" t="str">
        <f t="shared" si="64"/>
        <v>230120</v>
      </c>
      <c r="D2943" s="9" t="str">
        <f>"230904522"</f>
        <v>230904522</v>
      </c>
      <c r="E2943" s="10">
        <v>68.819999999999993</v>
      </c>
      <c r="F2943" s="10"/>
      <c r="G2943" s="10">
        <v>69</v>
      </c>
      <c r="H2943" s="10"/>
      <c r="I2943" s="10">
        <v>68.930000000000007</v>
      </c>
    </row>
    <row r="2944" spans="1:9" s="2" customFormat="1" ht="21.75" customHeight="1">
      <c r="A2944" s="8" t="s">
        <v>19</v>
      </c>
      <c r="B2944" s="8" t="s">
        <v>16</v>
      </c>
      <c r="C2944" s="9" t="str">
        <f t="shared" si="64"/>
        <v>230120</v>
      </c>
      <c r="D2944" s="9" t="str">
        <f>"230904509"</f>
        <v>230904509</v>
      </c>
      <c r="E2944" s="10">
        <v>67.900000000000006</v>
      </c>
      <c r="F2944" s="10"/>
      <c r="G2944" s="10">
        <v>69.5</v>
      </c>
      <c r="H2944" s="10"/>
      <c r="I2944" s="10">
        <v>68.86</v>
      </c>
    </row>
    <row r="2945" spans="1:9" s="2" customFormat="1" ht="21.75" customHeight="1">
      <c r="A2945" s="8" t="s">
        <v>19</v>
      </c>
      <c r="B2945" s="8" t="s">
        <v>16</v>
      </c>
      <c r="C2945" s="9" t="str">
        <f t="shared" si="64"/>
        <v>230120</v>
      </c>
      <c r="D2945" s="9" t="str">
        <f>"230904519"</f>
        <v>230904519</v>
      </c>
      <c r="E2945" s="10">
        <v>68.36</v>
      </c>
      <c r="F2945" s="10"/>
      <c r="G2945" s="10">
        <v>68.5</v>
      </c>
      <c r="H2945" s="10"/>
      <c r="I2945" s="10">
        <v>68.44</v>
      </c>
    </row>
    <row r="2946" spans="1:9" s="3" customFormat="1" ht="21.75" customHeight="1">
      <c r="A2946" s="8" t="s">
        <v>19</v>
      </c>
      <c r="B2946" s="8" t="s">
        <v>16</v>
      </c>
      <c r="C2946" s="9" t="str">
        <f t="shared" si="64"/>
        <v>230120</v>
      </c>
      <c r="D2946" s="9" t="str">
        <f>"230904406"</f>
        <v>230904406</v>
      </c>
      <c r="E2946" s="10">
        <v>65.959999999999994</v>
      </c>
      <c r="F2946" s="10"/>
      <c r="G2946" s="10">
        <v>69.5</v>
      </c>
      <c r="H2946" s="10"/>
      <c r="I2946" s="10">
        <v>68.08</v>
      </c>
    </row>
    <row r="2947" spans="1:9" s="2" customFormat="1" ht="21.75" customHeight="1">
      <c r="A2947" s="8" t="s">
        <v>19</v>
      </c>
      <c r="B2947" s="8" t="s">
        <v>16</v>
      </c>
      <c r="C2947" s="9" t="str">
        <f t="shared" si="64"/>
        <v>230120</v>
      </c>
      <c r="D2947" s="9" t="str">
        <f>"230904420"</f>
        <v>230904420</v>
      </c>
      <c r="E2947" s="10">
        <v>58.13</v>
      </c>
      <c r="F2947" s="10"/>
      <c r="G2947" s="10">
        <v>74.5</v>
      </c>
      <c r="H2947" s="10"/>
      <c r="I2947" s="10">
        <v>67.95</v>
      </c>
    </row>
    <row r="2948" spans="1:9" s="3" customFormat="1" ht="21.75" customHeight="1">
      <c r="A2948" s="8" t="s">
        <v>19</v>
      </c>
      <c r="B2948" s="8" t="s">
        <v>16</v>
      </c>
      <c r="C2948" s="9" t="str">
        <f t="shared" si="64"/>
        <v>230120</v>
      </c>
      <c r="D2948" s="9" t="str">
        <f>"230904322"</f>
        <v>230904322</v>
      </c>
      <c r="E2948" s="10">
        <v>64.78</v>
      </c>
      <c r="F2948" s="10"/>
      <c r="G2948" s="10">
        <v>70</v>
      </c>
      <c r="H2948" s="10"/>
      <c r="I2948" s="10">
        <v>67.91</v>
      </c>
    </row>
    <row r="2949" spans="1:9" s="2" customFormat="1" ht="21.75" customHeight="1">
      <c r="A2949" s="8" t="s">
        <v>19</v>
      </c>
      <c r="B2949" s="8" t="s">
        <v>16</v>
      </c>
      <c r="C2949" s="9" t="str">
        <f t="shared" si="64"/>
        <v>230120</v>
      </c>
      <c r="D2949" s="9" t="str">
        <f>"230904325"</f>
        <v>230904325</v>
      </c>
      <c r="E2949" s="10">
        <v>65.150000000000006</v>
      </c>
      <c r="F2949" s="10"/>
      <c r="G2949" s="10">
        <v>69.5</v>
      </c>
      <c r="H2949" s="10"/>
      <c r="I2949" s="10">
        <v>67.760000000000005</v>
      </c>
    </row>
    <row r="2950" spans="1:9" s="3" customFormat="1" ht="21.75" customHeight="1">
      <c r="A2950" s="8" t="s">
        <v>19</v>
      </c>
      <c r="B2950" s="8" t="s">
        <v>16</v>
      </c>
      <c r="C2950" s="9" t="str">
        <f t="shared" si="64"/>
        <v>230120</v>
      </c>
      <c r="D2950" s="9" t="str">
        <f>"230904317"</f>
        <v>230904317</v>
      </c>
      <c r="E2950" s="10">
        <v>65.14</v>
      </c>
      <c r="F2950" s="10"/>
      <c r="G2950" s="10">
        <v>69</v>
      </c>
      <c r="H2950" s="10"/>
      <c r="I2950" s="10">
        <v>67.459999999999994</v>
      </c>
    </row>
    <row r="2951" spans="1:9" s="3" customFormat="1" ht="21.75" customHeight="1">
      <c r="A2951" s="8" t="s">
        <v>19</v>
      </c>
      <c r="B2951" s="8" t="s">
        <v>16</v>
      </c>
      <c r="C2951" s="9" t="str">
        <f t="shared" si="64"/>
        <v>230120</v>
      </c>
      <c r="D2951" s="9" t="str">
        <f>"230904324"</f>
        <v>230904324</v>
      </c>
      <c r="E2951" s="10">
        <v>61.46</v>
      </c>
      <c r="F2951" s="10"/>
      <c r="G2951" s="10">
        <v>70.5</v>
      </c>
      <c r="H2951" s="10"/>
      <c r="I2951" s="10">
        <v>66.88</v>
      </c>
    </row>
    <row r="2952" spans="1:9" s="2" customFormat="1" ht="21.75" customHeight="1">
      <c r="A2952" s="8" t="s">
        <v>19</v>
      </c>
      <c r="B2952" s="8" t="s">
        <v>16</v>
      </c>
      <c r="C2952" s="9" t="str">
        <f t="shared" si="64"/>
        <v>230120</v>
      </c>
      <c r="D2952" s="9" t="str">
        <f>"230904405"</f>
        <v>230904405</v>
      </c>
      <c r="E2952" s="10">
        <v>59.87</v>
      </c>
      <c r="F2952" s="10"/>
      <c r="G2952" s="10">
        <v>68.5</v>
      </c>
      <c r="H2952" s="10"/>
      <c r="I2952" s="10">
        <v>65.05</v>
      </c>
    </row>
    <row r="2953" spans="1:9" s="2" customFormat="1" ht="21.75" customHeight="1">
      <c r="A2953" s="8" t="s">
        <v>19</v>
      </c>
      <c r="B2953" s="8" t="s">
        <v>16</v>
      </c>
      <c r="C2953" s="9" t="str">
        <f t="shared" si="64"/>
        <v>230120</v>
      </c>
      <c r="D2953" s="9" t="str">
        <f>"230904424"</f>
        <v>230904424</v>
      </c>
      <c r="E2953" s="10">
        <v>61.24</v>
      </c>
      <c r="F2953" s="10"/>
      <c r="G2953" s="10">
        <v>65.5</v>
      </c>
      <c r="H2953" s="10"/>
      <c r="I2953" s="10">
        <v>63.8</v>
      </c>
    </row>
    <row r="2954" spans="1:9" s="2" customFormat="1" ht="21.75" customHeight="1">
      <c r="A2954" s="8" t="s">
        <v>19</v>
      </c>
      <c r="B2954" s="8" t="s">
        <v>16</v>
      </c>
      <c r="C2954" s="9" t="str">
        <f t="shared" si="64"/>
        <v>230120</v>
      </c>
      <c r="D2954" s="9" t="str">
        <f>"230904504"</f>
        <v>230904504</v>
      </c>
      <c r="E2954" s="10">
        <v>69.77</v>
      </c>
      <c r="F2954" s="10"/>
      <c r="G2954" s="10">
        <v>58.5</v>
      </c>
      <c r="H2954" s="10"/>
      <c r="I2954" s="10">
        <v>63.01</v>
      </c>
    </row>
    <row r="2955" spans="1:9" s="3" customFormat="1" ht="21.75" customHeight="1">
      <c r="A2955" s="8" t="s">
        <v>19</v>
      </c>
      <c r="B2955" s="8" t="s">
        <v>16</v>
      </c>
      <c r="C2955" s="9" t="str">
        <f t="shared" si="64"/>
        <v>230120</v>
      </c>
      <c r="D2955" s="9" t="str">
        <f>"230904407"</f>
        <v>230904407</v>
      </c>
      <c r="E2955" s="10">
        <v>39.32</v>
      </c>
      <c r="F2955" s="10"/>
      <c r="G2955" s="10">
        <v>69</v>
      </c>
      <c r="H2955" s="10"/>
      <c r="I2955" s="10">
        <v>57.13</v>
      </c>
    </row>
    <row r="2956" spans="1:9" s="2" customFormat="1" ht="21.75" customHeight="1">
      <c r="A2956" s="8" t="s">
        <v>19</v>
      </c>
      <c r="B2956" s="8" t="s">
        <v>16</v>
      </c>
      <c r="C2956" s="9" t="str">
        <f t="shared" si="64"/>
        <v>230120</v>
      </c>
      <c r="D2956" s="9" t="str">
        <f>"230904318"</f>
        <v>230904318</v>
      </c>
      <c r="E2956" s="10">
        <v>0</v>
      </c>
      <c r="F2956" s="10"/>
      <c r="G2956" s="10">
        <v>0</v>
      </c>
      <c r="H2956" s="10"/>
      <c r="I2956" s="10">
        <v>0</v>
      </c>
    </row>
    <row r="2957" spans="1:9" s="2" customFormat="1" ht="21.75" customHeight="1">
      <c r="A2957" s="8" t="s">
        <v>19</v>
      </c>
      <c r="B2957" s="8" t="s">
        <v>16</v>
      </c>
      <c r="C2957" s="9" t="str">
        <f t="shared" si="64"/>
        <v>230120</v>
      </c>
      <c r="D2957" s="9" t="str">
        <f>"230904320"</f>
        <v>230904320</v>
      </c>
      <c r="E2957" s="10">
        <v>0</v>
      </c>
      <c r="F2957" s="10"/>
      <c r="G2957" s="10">
        <v>0</v>
      </c>
      <c r="H2957" s="10"/>
      <c r="I2957" s="10">
        <v>0</v>
      </c>
    </row>
    <row r="2958" spans="1:9" s="2" customFormat="1" ht="21.75" customHeight="1">
      <c r="A2958" s="8" t="s">
        <v>19</v>
      </c>
      <c r="B2958" s="8" t="s">
        <v>16</v>
      </c>
      <c r="C2958" s="9" t="str">
        <f t="shared" si="64"/>
        <v>230120</v>
      </c>
      <c r="D2958" s="9" t="str">
        <f>"230904321"</f>
        <v>230904321</v>
      </c>
      <c r="E2958" s="10">
        <v>0</v>
      </c>
      <c r="F2958" s="10"/>
      <c r="G2958" s="10">
        <v>0</v>
      </c>
      <c r="H2958" s="10"/>
      <c r="I2958" s="10">
        <v>0</v>
      </c>
    </row>
    <row r="2959" spans="1:9" s="2" customFormat="1" ht="21.75" customHeight="1">
      <c r="A2959" s="8" t="s">
        <v>19</v>
      </c>
      <c r="B2959" s="8" t="s">
        <v>16</v>
      </c>
      <c r="C2959" s="9" t="str">
        <f t="shared" si="64"/>
        <v>230120</v>
      </c>
      <c r="D2959" s="9" t="str">
        <f>"230904326"</f>
        <v>230904326</v>
      </c>
      <c r="E2959" s="10">
        <v>0</v>
      </c>
      <c r="F2959" s="10"/>
      <c r="G2959" s="10">
        <v>0</v>
      </c>
      <c r="H2959" s="10"/>
      <c r="I2959" s="10">
        <v>0</v>
      </c>
    </row>
    <row r="2960" spans="1:9" s="2" customFormat="1" ht="21.75" customHeight="1">
      <c r="A2960" s="8" t="s">
        <v>19</v>
      </c>
      <c r="B2960" s="8" t="s">
        <v>16</v>
      </c>
      <c r="C2960" s="9" t="str">
        <f t="shared" si="64"/>
        <v>230120</v>
      </c>
      <c r="D2960" s="9" t="str">
        <f>"230904328"</f>
        <v>230904328</v>
      </c>
      <c r="E2960" s="10">
        <v>0</v>
      </c>
      <c r="F2960" s="10"/>
      <c r="G2960" s="10">
        <v>0</v>
      </c>
      <c r="H2960" s="10"/>
      <c r="I2960" s="10">
        <v>0</v>
      </c>
    </row>
    <row r="2961" spans="1:9" s="2" customFormat="1" ht="21.75" customHeight="1">
      <c r="A2961" s="8" t="s">
        <v>19</v>
      </c>
      <c r="B2961" s="8" t="s">
        <v>16</v>
      </c>
      <c r="C2961" s="9" t="str">
        <f t="shared" si="64"/>
        <v>230120</v>
      </c>
      <c r="D2961" s="9" t="str">
        <f>"230904413"</f>
        <v>230904413</v>
      </c>
      <c r="E2961" s="10">
        <v>0</v>
      </c>
      <c r="F2961" s="10"/>
      <c r="G2961" s="10">
        <v>0</v>
      </c>
      <c r="H2961" s="10"/>
      <c r="I2961" s="10">
        <v>0</v>
      </c>
    </row>
    <row r="2962" spans="1:9" s="3" customFormat="1" ht="21.75" customHeight="1">
      <c r="A2962" s="8" t="s">
        <v>19</v>
      </c>
      <c r="B2962" s="8" t="s">
        <v>16</v>
      </c>
      <c r="C2962" s="9" t="str">
        <f t="shared" si="64"/>
        <v>230120</v>
      </c>
      <c r="D2962" s="9" t="str">
        <f>"230904421"</f>
        <v>230904421</v>
      </c>
      <c r="E2962" s="10">
        <v>0</v>
      </c>
      <c r="F2962" s="10"/>
      <c r="G2962" s="10">
        <v>0</v>
      </c>
      <c r="H2962" s="10"/>
      <c r="I2962" s="10">
        <v>0</v>
      </c>
    </row>
    <row r="2963" spans="1:9" s="3" customFormat="1" ht="21.75" customHeight="1">
      <c r="A2963" s="8" t="s">
        <v>19</v>
      </c>
      <c r="B2963" s="8" t="s">
        <v>16</v>
      </c>
      <c r="C2963" s="9" t="str">
        <f t="shared" si="64"/>
        <v>230120</v>
      </c>
      <c r="D2963" s="9" t="str">
        <f>"230904426"</f>
        <v>230904426</v>
      </c>
      <c r="E2963" s="10">
        <v>0</v>
      </c>
      <c r="F2963" s="10"/>
      <c r="G2963" s="10">
        <v>0</v>
      </c>
      <c r="H2963" s="10"/>
      <c r="I2963" s="10">
        <v>0</v>
      </c>
    </row>
    <row r="2964" spans="1:9" s="2" customFormat="1" ht="21.75" customHeight="1">
      <c r="A2964" s="8" t="s">
        <v>19</v>
      </c>
      <c r="B2964" s="8" t="s">
        <v>16</v>
      </c>
      <c r="C2964" s="9" t="str">
        <f t="shared" ref="C2964:C2970" si="65">"230120"</f>
        <v>230120</v>
      </c>
      <c r="D2964" s="9" t="str">
        <f>"230904427"</f>
        <v>230904427</v>
      </c>
      <c r="E2964" s="10">
        <v>0</v>
      </c>
      <c r="F2964" s="10"/>
      <c r="G2964" s="10">
        <v>0</v>
      </c>
      <c r="H2964" s="10"/>
      <c r="I2964" s="10">
        <v>0</v>
      </c>
    </row>
    <row r="2965" spans="1:9" s="3" customFormat="1" ht="21.75" customHeight="1">
      <c r="A2965" s="8" t="s">
        <v>19</v>
      </c>
      <c r="B2965" s="8" t="s">
        <v>16</v>
      </c>
      <c r="C2965" s="9" t="str">
        <f t="shared" si="65"/>
        <v>230120</v>
      </c>
      <c r="D2965" s="9" t="str">
        <f>"230904501"</f>
        <v>230904501</v>
      </c>
      <c r="E2965" s="10">
        <v>0</v>
      </c>
      <c r="F2965" s="10"/>
      <c r="G2965" s="10">
        <v>0</v>
      </c>
      <c r="H2965" s="10"/>
      <c r="I2965" s="10">
        <v>0</v>
      </c>
    </row>
    <row r="2966" spans="1:9" s="3" customFormat="1" ht="21.75" customHeight="1">
      <c r="A2966" s="8" t="s">
        <v>19</v>
      </c>
      <c r="B2966" s="8" t="s">
        <v>16</v>
      </c>
      <c r="C2966" s="9" t="str">
        <f t="shared" si="65"/>
        <v>230120</v>
      </c>
      <c r="D2966" s="9" t="str">
        <f>"230904502"</f>
        <v>230904502</v>
      </c>
      <c r="E2966" s="10">
        <v>0</v>
      </c>
      <c r="F2966" s="10"/>
      <c r="G2966" s="10">
        <v>0</v>
      </c>
      <c r="H2966" s="10"/>
      <c r="I2966" s="10">
        <v>0</v>
      </c>
    </row>
    <row r="2967" spans="1:9" s="2" customFormat="1" ht="21.75" customHeight="1">
      <c r="A2967" s="8" t="s">
        <v>19</v>
      </c>
      <c r="B2967" s="8" t="s">
        <v>16</v>
      </c>
      <c r="C2967" s="9" t="str">
        <f t="shared" si="65"/>
        <v>230120</v>
      </c>
      <c r="D2967" s="9" t="str">
        <f>"230904505"</f>
        <v>230904505</v>
      </c>
      <c r="E2967" s="10">
        <v>0</v>
      </c>
      <c r="F2967" s="10"/>
      <c r="G2967" s="10">
        <v>0</v>
      </c>
      <c r="H2967" s="10"/>
      <c r="I2967" s="10">
        <v>0</v>
      </c>
    </row>
    <row r="2968" spans="1:9" s="2" customFormat="1" ht="21.75" customHeight="1">
      <c r="A2968" s="8" t="s">
        <v>19</v>
      </c>
      <c r="B2968" s="8" t="s">
        <v>16</v>
      </c>
      <c r="C2968" s="9" t="str">
        <f t="shared" si="65"/>
        <v>230120</v>
      </c>
      <c r="D2968" s="9" t="str">
        <f>"230904511"</f>
        <v>230904511</v>
      </c>
      <c r="E2968" s="10">
        <v>0</v>
      </c>
      <c r="F2968" s="10"/>
      <c r="G2968" s="10">
        <v>0</v>
      </c>
      <c r="H2968" s="10"/>
      <c r="I2968" s="10">
        <v>0</v>
      </c>
    </row>
    <row r="2969" spans="1:9" s="3" customFormat="1" ht="21.75" customHeight="1">
      <c r="A2969" s="8" t="s">
        <v>19</v>
      </c>
      <c r="B2969" s="8" t="s">
        <v>16</v>
      </c>
      <c r="C2969" s="9" t="str">
        <f t="shared" si="65"/>
        <v>230120</v>
      </c>
      <c r="D2969" s="9" t="str">
        <f>"230904513"</f>
        <v>230904513</v>
      </c>
      <c r="E2969" s="10">
        <v>0</v>
      </c>
      <c r="F2969" s="10"/>
      <c r="G2969" s="10">
        <v>0</v>
      </c>
      <c r="H2969" s="10"/>
      <c r="I2969" s="10">
        <v>0</v>
      </c>
    </row>
    <row r="2970" spans="1:9" s="2" customFormat="1" ht="21.75" customHeight="1">
      <c r="A2970" s="8" t="s">
        <v>19</v>
      </c>
      <c r="B2970" s="8" t="s">
        <v>16</v>
      </c>
      <c r="C2970" s="9" t="str">
        <f t="shared" si="65"/>
        <v>230120</v>
      </c>
      <c r="D2970" s="9" t="str">
        <f>"230904524"</f>
        <v>230904524</v>
      </c>
      <c r="E2970" s="10">
        <v>0</v>
      </c>
      <c r="F2970" s="10"/>
      <c r="G2970" s="10">
        <v>0</v>
      </c>
      <c r="H2970" s="10"/>
      <c r="I2970" s="10">
        <v>0</v>
      </c>
    </row>
    <row r="2971" spans="1:9" s="1" customFormat="1" ht="21.75" customHeight="1">
      <c r="A2971" s="8" t="s">
        <v>19</v>
      </c>
      <c r="B2971" s="8" t="s">
        <v>17</v>
      </c>
      <c r="C2971" s="9" t="str">
        <f t="shared" ref="C2971:C3002" si="66">"230121"</f>
        <v>230121</v>
      </c>
      <c r="D2971" s="9" t="str">
        <f>"230904918"</f>
        <v>230904918</v>
      </c>
      <c r="E2971" s="10">
        <v>83.33</v>
      </c>
      <c r="F2971" s="10"/>
      <c r="G2971" s="10">
        <v>76</v>
      </c>
      <c r="H2971" s="10"/>
      <c r="I2971" s="10">
        <v>78.930000000000007</v>
      </c>
    </row>
    <row r="2972" spans="1:9" s="1" customFormat="1" ht="21.75" customHeight="1">
      <c r="A2972" s="8" t="s">
        <v>19</v>
      </c>
      <c r="B2972" s="8" t="s">
        <v>17</v>
      </c>
      <c r="C2972" s="9" t="str">
        <f t="shared" si="66"/>
        <v>230121</v>
      </c>
      <c r="D2972" s="9" t="str">
        <f>"230904819"</f>
        <v>230904819</v>
      </c>
      <c r="E2972" s="10">
        <v>79.41</v>
      </c>
      <c r="F2972" s="10"/>
      <c r="G2972" s="10">
        <v>77.5</v>
      </c>
      <c r="H2972" s="10"/>
      <c r="I2972" s="10">
        <v>78.260000000000005</v>
      </c>
    </row>
    <row r="2973" spans="1:9" ht="21.75" customHeight="1">
      <c r="A2973" s="8" t="s">
        <v>19</v>
      </c>
      <c r="B2973" s="8" t="s">
        <v>17</v>
      </c>
      <c r="C2973" s="9" t="str">
        <f t="shared" si="66"/>
        <v>230121</v>
      </c>
      <c r="D2973" s="9" t="str">
        <f>"230904615"</f>
        <v>230904615</v>
      </c>
      <c r="E2973" s="10">
        <v>77.900000000000006</v>
      </c>
      <c r="F2973" s="10"/>
      <c r="G2973" s="10">
        <v>78</v>
      </c>
      <c r="H2973" s="10"/>
      <c r="I2973" s="10">
        <v>77.959999999999994</v>
      </c>
    </row>
    <row r="2974" spans="1:9" s="1" customFormat="1" ht="21.75" customHeight="1">
      <c r="A2974" s="8" t="s">
        <v>19</v>
      </c>
      <c r="B2974" s="8" t="s">
        <v>17</v>
      </c>
      <c r="C2974" s="9" t="str">
        <f t="shared" si="66"/>
        <v>230121</v>
      </c>
      <c r="D2974" s="9" t="str">
        <f>"230904804"</f>
        <v>230904804</v>
      </c>
      <c r="E2974" s="10">
        <v>82.52</v>
      </c>
      <c r="F2974" s="10"/>
      <c r="G2974" s="10">
        <v>74.5</v>
      </c>
      <c r="H2974" s="10"/>
      <c r="I2974" s="10">
        <v>77.709999999999994</v>
      </c>
    </row>
    <row r="2975" spans="1:9" ht="21.75" customHeight="1">
      <c r="A2975" s="8" t="s">
        <v>19</v>
      </c>
      <c r="B2975" s="8" t="s">
        <v>17</v>
      </c>
      <c r="C2975" s="9" t="str">
        <f t="shared" si="66"/>
        <v>230121</v>
      </c>
      <c r="D2975" s="9" t="str">
        <f>"230905013"</f>
        <v>230905013</v>
      </c>
      <c r="E2975" s="10">
        <v>74.92</v>
      </c>
      <c r="F2975" s="10"/>
      <c r="G2975" s="10">
        <v>79.5</v>
      </c>
      <c r="H2975" s="10"/>
      <c r="I2975" s="10">
        <v>77.67</v>
      </c>
    </row>
    <row r="2976" spans="1:9" s="1" customFormat="1" ht="21.75" customHeight="1">
      <c r="A2976" s="8" t="s">
        <v>19</v>
      </c>
      <c r="B2976" s="8" t="s">
        <v>17</v>
      </c>
      <c r="C2976" s="9" t="str">
        <f t="shared" si="66"/>
        <v>230121</v>
      </c>
      <c r="D2976" s="9" t="str">
        <f>"230904912"</f>
        <v>230904912</v>
      </c>
      <c r="E2976" s="10">
        <v>80.209999999999994</v>
      </c>
      <c r="F2976" s="10"/>
      <c r="G2976" s="10">
        <v>75.5</v>
      </c>
      <c r="H2976" s="10"/>
      <c r="I2976" s="10">
        <v>77.38</v>
      </c>
    </row>
    <row r="2977" spans="1:9" s="1" customFormat="1" ht="21.75" customHeight="1">
      <c r="A2977" s="8" t="s">
        <v>19</v>
      </c>
      <c r="B2977" s="8" t="s">
        <v>17</v>
      </c>
      <c r="C2977" s="9" t="str">
        <f t="shared" si="66"/>
        <v>230121</v>
      </c>
      <c r="D2977" s="9" t="str">
        <f>"230904823"</f>
        <v>230904823</v>
      </c>
      <c r="E2977" s="10">
        <v>78.84</v>
      </c>
      <c r="F2977" s="10"/>
      <c r="G2977" s="10">
        <v>76</v>
      </c>
      <c r="H2977" s="10"/>
      <c r="I2977" s="10">
        <v>77.14</v>
      </c>
    </row>
    <row r="2978" spans="1:9" ht="21.75" customHeight="1">
      <c r="A2978" s="8" t="s">
        <v>19</v>
      </c>
      <c r="B2978" s="8" t="s">
        <v>17</v>
      </c>
      <c r="C2978" s="9" t="str">
        <f t="shared" si="66"/>
        <v>230121</v>
      </c>
      <c r="D2978" s="9" t="str">
        <f>"230905017"</f>
        <v>230905017</v>
      </c>
      <c r="E2978" s="10">
        <v>80.33</v>
      </c>
      <c r="F2978" s="10"/>
      <c r="G2978" s="10">
        <v>75</v>
      </c>
      <c r="H2978" s="10"/>
      <c r="I2978" s="10">
        <v>77.13</v>
      </c>
    </row>
    <row r="2979" spans="1:9" s="1" customFormat="1" ht="21.75" customHeight="1">
      <c r="A2979" s="8" t="s">
        <v>19</v>
      </c>
      <c r="B2979" s="8" t="s">
        <v>17</v>
      </c>
      <c r="C2979" s="9" t="str">
        <f t="shared" si="66"/>
        <v>230121</v>
      </c>
      <c r="D2979" s="9" t="str">
        <f>"230904703"</f>
        <v>230904703</v>
      </c>
      <c r="E2979" s="10">
        <v>75.5</v>
      </c>
      <c r="F2979" s="10"/>
      <c r="G2979" s="10">
        <v>78</v>
      </c>
      <c r="H2979" s="10"/>
      <c r="I2979" s="10">
        <v>77</v>
      </c>
    </row>
    <row r="2980" spans="1:9" ht="21.75" customHeight="1">
      <c r="A2980" s="8" t="s">
        <v>19</v>
      </c>
      <c r="B2980" s="8" t="s">
        <v>17</v>
      </c>
      <c r="C2980" s="9" t="str">
        <f t="shared" si="66"/>
        <v>230121</v>
      </c>
      <c r="D2980" s="9" t="str">
        <f>"230904820"</f>
        <v>230904820</v>
      </c>
      <c r="E2980" s="10">
        <v>78.47</v>
      </c>
      <c r="F2980" s="10"/>
      <c r="G2980" s="10">
        <v>75.5</v>
      </c>
      <c r="H2980" s="10"/>
      <c r="I2980" s="10">
        <v>76.69</v>
      </c>
    </row>
    <row r="2981" spans="1:9" ht="21.75" customHeight="1">
      <c r="A2981" s="8" t="s">
        <v>19</v>
      </c>
      <c r="B2981" s="8" t="s">
        <v>17</v>
      </c>
      <c r="C2981" s="9" t="str">
        <f t="shared" si="66"/>
        <v>230121</v>
      </c>
      <c r="D2981" s="9" t="str">
        <f>"230904925"</f>
        <v>230904925</v>
      </c>
      <c r="E2981" s="10">
        <v>74.58</v>
      </c>
      <c r="F2981" s="10"/>
      <c r="G2981" s="10">
        <v>78</v>
      </c>
      <c r="H2981" s="10"/>
      <c r="I2981" s="10">
        <v>76.63</v>
      </c>
    </row>
    <row r="2982" spans="1:9" ht="21.75" customHeight="1">
      <c r="A2982" s="8" t="s">
        <v>19</v>
      </c>
      <c r="B2982" s="8" t="s">
        <v>17</v>
      </c>
      <c r="C2982" s="9" t="str">
        <f t="shared" si="66"/>
        <v>230121</v>
      </c>
      <c r="D2982" s="9" t="str">
        <f>"230904628"</f>
        <v>230904628</v>
      </c>
      <c r="E2982" s="10">
        <v>78.260000000000005</v>
      </c>
      <c r="F2982" s="10"/>
      <c r="G2982" s="10">
        <v>75.5</v>
      </c>
      <c r="H2982" s="10"/>
      <c r="I2982" s="10">
        <v>76.599999999999994</v>
      </c>
    </row>
    <row r="2983" spans="1:9" s="1" customFormat="1" ht="21.75" customHeight="1">
      <c r="A2983" s="8" t="s">
        <v>19</v>
      </c>
      <c r="B2983" s="8" t="s">
        <v>17</v>
      </c>
      <c r="C2983" s="9" t="str">
        <f t="shared" si="66"/>
        <v>230121</v>
      </c>
      <c r="D2983" s="9" t="str">
        <f>"230904617"</f>
        <v>230904617</v>
      </c>
      <c r="E2983" s="10">
        <v>74.69</v>
      </c>
      <c r="F2983" s="10"/>
      <c r="G2983" s="10">
        <v>77.5</v>
      </c>
      <c r="H2983" s="10"/>
      <c r="I2983" s="10">
        <v>76.38</v>
      </c>
    </row>
    <row r="2984" spans="1:9" ht="21.75" customHeight="1">
      <c r="A2984" s="8" t="s">
        <v>19</v>
      </c>
      <c r="B2984" s="8" t="s">
        <v>17</v>
      </c>
      <c r="C2984" s="9" t="str">
        <f t="shared" si="66"/>
        <v>230121</v>
      </c>
      <c r="D2984" s="9" t="str">
        <f>"230904827"</f>
        <v>230904827</v>
      </c>
      <c r="E2984" s="10">
        <v>76.31</v>
      </c>
      <c r="F2984" s="10"/>
      <c r="G2984" s="10">
        <v>76</v>
      </c>
      <c r="H2984" s="10"/>
      <c r="I2984" s="10">
        <v>76.12</v>
      </c>
    </row>
    <row r="2985" spans="1:9" s="1" customFormat="1" ht="21.75" customHeight="1">
      <c r="A2985" s="8" t="s">
        <v>19</v>
      </c>
      <c r="B2985" s="8" t="s">
        <v>17</v>
      </c>
      <c r="C2985" s="9" t="str">
        <f t="shared" si="66"/>
        <v>230121</v>
      </c>
      <c r="D2985" s="9" t="str">
        <f>"230904712"</f>
        <v>230904712</v>
      </c>
      <c r="E2985" s="10">
        <v>76.650000000000006</v>
      </c>
      <c r="F2985" s="10"/>
      <c r="G2985" s="10">
        <v>75.5</v>
      </c>
      <c r="H2985" s="10"/>
      <c r="I2985" s="10">
        <v>75.959999999999994</v>
      </c>
    </row>
    <row r="2986" spans="1:9" ht="21.75" customHeight="1">
      <c r="A2986" s="8" t="s">
        <v>19</v>
      </c>
      <c r="B2986" s="8" t="s">
        <v>17</v>
      </c>
      <c r="C2986" s="9" t="str">
        <f t="shared" si="66"/>
        <v>230121</v>
      </c>
      <c r="D2986" s="9" t="str">
        <f>"230904917"</f>
        <v>230904917</v>
      </c>
      <c r="E2986" s="10">
        <v>73.22</v>
      </c>
      <c r="F2986" s="10"/>
      <c r="G2986" s="10">
        <v>77</v>
      </c>
      <c r="H2986" s="10"/>
      <c r="I2986" s="10">
        <v>75.489999999999995</v>
      </c>
    </row>
    <row r="2987" spans="1:9" ht="21.75" customHeight="1">
      <c r="A2987" s="8" t="s">
        <v>19</v>
      </c>
      <c r="B2987" s="8" t="s">
        <v>17</v>
      </c>
      <c r="C2987" s="9" t="str">
        <f t="shared" si="66"/>
        <v>230121</v>
      </c>
      <c r="D2987" s="9" t="str">
        <f>"230904914"</f>
        <v>230904914</v>
      </c>
      <c r="E2987" s="10">
        <v>74.010000000000005</v>
      </c>
      <c r="F2987" s="10"/>
      <c r="G2987" s="10">
        <v>76</v>
      </c>
      <c r="H2987" s="10"/>
      <c r="I2987" s="10">
        <v>75.2</v>
      </c>
    </row>
    <row r="2988" spans="1:9" ht="21.75" customHeight="1">
      <c r="A2988" s="8" t="s">
        <v>19</v>
      </c>
      <c r="B2988" s="8" t="s">
        <v>17</v>
      </c>
      <c r="C2988" s="9" t="str">
        <f t="shared" si="66"/>
        <v>230121</v>
      </c>
      <c r="D2988" s="9" t="str">
        <f>"230904824"</f>
        <v>230904824</v>
      </c>
      <c r="E2988" s="10">
        <v>79.2</v>
      </c>
      <c r="F2988" s="10"/>
      <c r="G2988" s="10">
        <v>72.5</v>
      </c>
      <c r="H2988" s="10"/>
      <c r="I2988" s="10">
        <v>75.180000000000007</v>
      </c>
    </row>
    <row r="2989" spans="1:9" s="1" customFormat="1" ht="21.75" customHeight="1">
      <c r="A2989" s="8" t="s">
        <v>19</v>
      </c>
      <c r="B2989" s="8" t="s">
        <v>17</v>
      </c>
      <c r="C2989" s="9" t="str">
        <f t="shared" si="66"/>
        <v>230121</v>
      </c>
      <c r="D2989" s="9" t="str">
        <f>"230904829"</f>
        <v>230904829</v>
      </c>
      <c r="E2989" s="10">
        <v>75.489999999999995</v>
      </c>
      <c r="F2989" s="10"/>
      <c r="G2989" s="10">
        <v>74.5</v>
      </c>
      <c r="H2989" s="10"/>
      <c r="I2989" s="10">
        <v>74.900000000000006</v>
      </c>
    </row>
    <row r="2990" spans="1:9" s="1" customFormat="1" ht="21.75" customHeight="1">
      <c r="A2990" s="8" t="s">
        <v>19</v>
      </c>
      <c r="B2990" s="8" t="s">
        <v>17</v>
      </c>
      <c r="C2990" s="9" t="str">
        <f t="shared" si="66"/>
        <v>230121</v>
      </c>
      <c r="D2990" s="9" t="str">
        <f>"230904904"</f>
        <v>230904904</v>
      </c>
      <c r="E2990" s="10">
        <v>75.510000000000005</v>
      </c>
      <c r="F2990" s="10"/>
      <c r="G2990" s="10">
        <v>74.5</v>
      </c>
      <c r="H2990" s="10"/>
      <c r="I2990" s="10">
        <v>74.900000000000006</v>
      </c>
    </row>
    <row r="2991" spans="1:9" ht="21.75" customHeight="1">
      <c r="A2991" s="8" t="s">
        <v>19</v>
      </c>
      <c r="B2991" s="8" t="s">
        <v>17</v>
      </c>
      <c r="C2991" s="9" t="str">
        <f t="shared" si="66"/>
        <v>230121</v>
      </c>
      <c r="D2991" s="9" t="str">
        <f>"230904903"</f>
        <v>230904903</v>
      </c>
      <c r="E2991" s="10">
        <v>78.25</v>
      </c>
      <c r="F2991" s="10"/>
      <c r="G2991" s="10">
        <v>72.5</v>
      </c>
      <c r="H2991" s="10"/>
      <c r="I2991" s="10">
        <v>74.8</v>
      </c>
    </row>
    <row r="2992" spans="1:9" ht="21.75" customHeight="1">
      <c r="A2992" s="8" t="s">
        <v>19</v>
      </c>
      <c r="B2992" s="8" t="s">
        <v>17</v>
      </c>
      <c r="C2992" s="9" t="str">
        <f t="shared" si="66"/>
        <v>230121</v>
      </c>
      <c r="D2992" s="9" t="str">
        <f>"230904702"</f>
        <v>230904702</v>
      </c>
      <c r="E2992" s="10">
        <v>77.790000000000006</v>
      </c>
      <c r="F2992" s="10"/>
      <c r="G2992" s="10">
        <v>72.5</v>
      </c>
      <c r="H2992" s="10"/>
      <c r="I2992" s="10">
        <v>74.62</v>
      </c>
    </row>
    <row r="2993" spans="1:9" ht="21.75" customHeight="1">
      <c r="A2993" s="8" t="s">
        <v>19</v>
      </c>
      <c r="B2993" s="8" t="s">
        <v>17</v>
      </c>
      <c r="C2993" s="9" t="str">
        <f t="shared" si="66"/>
        <v>230121</v>
      </c>
      <c r="D2993" s="9" t="str">
        <f>"230904929"</f>
        <v>230904929</v>
      </c>
      <c r="E2993" s="10">
        <v>76.209999999999994</v>
      </c>
      <c r="F2993" s="10"/>
      <c r="G2993" s="10">
        <v>73.5</v>
      </c>
      <c r="H2993" s="10"/>
      <c r="I2993" s="10">
        <v>74.58</v>
      </c>
    </row>
    <row r="2994" spans="1:9" s="1" customFormat="1" ht="21.75" customHeight="1">
      <c r="A2994" s="8" t="s">
        <v>19</v>
      </c>
      <c r="B2994" s="8" t="s">
        <v>17</v>
      </c>
      <c r="C2994" s="9" t="str">
        <f t="shared" si="66"/>
        <v>230121</v>
      </c>
      <c r="D2994" s="9" t="str">
        <f>"230904705"</f>
        <v>230904705</v>
      </c>
      <c r="E2994" s="10">
        <v>66.989999999999995</v>
      </c>
      <c r="F2994" s="10"/>
      <c r="G2994" s="10">
        <v>79.5</v>
      </c>
      <c r="H2994" s="10"/>
      <c r="I2994" s="10">
        <v>74.5</v>
      </c>
    </row>
    <row r="2995" spans="1:9" ht="21.75" customHeight="1">
      <c r="A2995" s="8" t="s">
        <v>19</v>
      </c>
      <c r="B2995" s="8" t="s">
        <v>17</v>
      </c>
      <c r="C2995" s="9" t="str">
        <f t="shared" si="66"/>
        <v>230121</v>
      </c>
      <c r="D2995" s="9" t="str">
        <f>"230904725"</f>
        <v>230904725</v>
      </c>
      <c r="E2995" s="10">
        <v>75.84</v>
      </c>
      <c r="F2995" s="10"/>
      <c r="G2995" s="10">
        <v>73.5</v>
      </c>
      <c r="H2995" s="10"/>
      <c r="I2995" s="10">
        <v>74.44</v>
      </c>
    </row>
    <row r="2996" spans="1:9" ht="21.75" customHeight="1">
      <c r="A2996" s="8" t="s">
        <v>19</v>
      </c>
      <c r="B2996" s="8" t="s">
        <v>17</v>
      </c>
      <c r="C2996" s="9" t="str">
        <f t="shared" si="66"/>
        <v>230121</v>
      </c>
      <c r="D2996" s="9" t="str">
        <f>"230904813"</f>
        <v>230904813</v>
      </c>
      <c r="E2996" s="10">
        <v>71.48</v>
      </c>
      <c r="F2996" s="10"/>
      <c r="G2996" s="10">
        <v>76</v>
      </c>
      <c r="H2996" s="10"/>
      <c r="I2996" s="10">
        <v>74.19</v>
      </c>
    </row>
    <row r="2997" spans="1:9" ht="21.75" customHeight="1">
      <c r="A2997" s="8" t="s">
        <v>19</v>
      </c>
      <c r="B2997" s="8" t="s">
        <v>17</v>
      </c>
      <c r="C2997" s="9" t="str">
        <f t="shared" si="66"/>
        <v>230121</v>
      </c>
      <c r="D2997" s="9" t="str">
        <f>"230905010"</f>
        <v>230905010</v>
      </c>
      <c r="E2997" s="10">
        <v>71.239999999999995</v>
      </c>
      <c r="F2997" s="10"/>
      <c r="G2997" s="10">
        <v>76</v>
      </c>
      <c r="H2997" s="10"/>
      <c r="I2997" s="10">
        <v>74.099999999999994</v>
      </c>
    </row>
    <row r="2998" spans="1:9" ht="21.75" customHeight="1">
      <c r="A2998" s="8" t="s">
        <v>19</v>
      </c>
      <c r="B2998" s="8" t="s">
        <v>17</v>
      </c>
      <c r="C2998" s="9" t="str">
        <f t="shared" si="66"/>
        <v>230121</v>
      </c>
      <c r="D2998" s="9" t="str">
        <f>"230904722"</f>
        <v>230904722</v>
      </c>
      <c r="E2998" s="10">
        <v>72.510000000000005</v>
      </c>
      <c r="F2998" s="10"/>
      <c r="G2998" s="10">
        <v>75</v>
      </c>
      <c r="H2998" s="10"/>
      <c r="I2998" s="10">
        <v>74</v>
      </c>
    </row>
    <row r="2999" spans="1:9" s="1" customFormat="1" ht="21.75" customHeight="1">
      <c r="A2999" s="8" t="s">
        <v>19</v>
      </c>
      <c r="B2999" s="8" t="s">
        <v>17</v>
      </c>
      <c r="C2999" s="9" t="str">
        <f t="shared" si="66"/>
        <v>230121</v>
      </c>
      <c r="D2999" s="9" t="str">
        <f>"230904616"</f>
        <v>230904616</v>
      </c>
      <c r="E2999" s="10">
        <v>74.23</v>
      </c>
      <c r="F2999" s="10"/>
      <c r="G2999" s="10">
        <v>73.5</v>
      </c>
      <c r="H2999" s="10"/>
      <c r="I2999" s="10">
        <v>73.790000000000006</v>
      </c>
    </row>
    <row r="3000" spans="1:9" s="1" customFormat="1" ht="21.75" customHeight="1">
      <c r="A3000" s="8" t="s">
        <v>19</v>
      </c>
      <c r="B3000" s="8" t="s">
        <v>17</v>
      </c>
      <c r="C3000" s="9" t="str">
        <f t="shared" si="66"/>
        <v>230121</v>
      </c>
      <c r="D3000" s="9" t="str">
        <f>"230904907"</f>
        <v>230904907</v>
      </c>
      <c r="E3000" s="10">
        <v>71.81</v>
      </c>
      <c r="F3000" s="10"/>
      <c r="G3000" s="10">
        <v>75</v>
      </c>
      <c r="H3000" s="10"/>
      <c r="I3000" s="10">
        <v>73.72</v>
      </c>
    </row>
    <row r="3001" spans="1:9" s="1" customFormat="1" ht="21.75" customHeight="1">
      <c r="A3001" s="8" t="s">
        <v>19</v>
      </c>
      <c r="B3001" s="8" t="s">
        <v>17</v>
      </c>
      <c r="C3001" s="9" t="str">
        <f t="shared" si="66"/>
        <v>230121</v>
      </c>
      <c r="D3001" s="9" t="str">
        <f>"230904717"</f>
        <v>230904717</v>
      </c>
      <c r="E3001" s="10">
        <v>72.52</v>
      </c>
      <c r="F3001" s="10"/>
      <c r="G3001" s="10">
        <v>74.5</v>
      </c>
      <c r="H3001" s="10"/>
      <c r="I3001" s="10">
        <v>73.709999999999994</v>
      </c>
    </row>
    <row r="3002" spans="1:9" s="1" customFormat="1" ht="21.75" customHeight="1">
      <c r="A3002" s="8" t="s">
        <v>19</v>
      </c>
      <c r="B3002" s="8" t="s">
        <v>17</v>
      </c>
      <c r="C3002" s="9" t="str">
        <f t="shared" si="66"/>
        <v>230121</v>
      </c>
      <c r="D3002" s="9" t="str">
        <f>"230904701"</f>
        <v>230904701</v>
      </c>
      <c r="E3002" s="10">
        <v>72.73</v>
      </c>
      <c r="F3002" s="10"/>
      <c r="G3002" s="10">
        <v>74</v>
      </c>
      <c r="H3002" s="10"/>
      <c r="I3002" s="10">
        <v>73.489999999999995</v>
      </c>
    </row>
    <row r="3003" spans="1:9" ht="21.75" customHeight="1">
      <c r="A3003" s="8" t="s">
        <v>19</v>
      </c>
      <c r="B3003" s="8" t="s">
        <v>17</v>
      </c>
      <c r="C3003" s="9" t="str">
        <f t="shared" ref="C3003:C3034" si="67">"230121"</f>
        <v>230121</v>
      </c>
      <c r="D3003" s="9" t="str">
        <f>"230904711"</f>
        <v>230904711</v>
      </c>
      <c r="E3003" s="10">
        <v>77.66</v>
      </c>
      <c r="F3003" s="10"/>
      <c r="G3003" s="10">
        <v>70.5</v>
      </c>
      <c r="H3003" s="10"/>
      <c r="I3003" s="10">
        <v>73.36</v>
      </c>
    </row>
    <row r="3004" spans="1:9" s="1" customFormat="1" ht="21.75" customHeight="1">
      <c r="A3004" s="8" t="s">
        <v>19</v>
      </c>
      <c r="B3004" s="8" t="s">
        <v>17</v>
      </c>
      <c r="C3004" s="9" t="str">
        <f t="shared" si="67"/>
        <v>230121</v>
      </c>
      <c r="D3004" s="9" t="str">
        <f>"230904728"</f>
        <v>230904728</v>
      </c>
      <c r="E3004" s="10">
        <v>70.89</v>
      </c>
      <c r="F3004" s="10"/>
      <c r="G3004" s="10">
        <v>75</v>
      </c>
      <c r="H3004" s="10"/>
      <c r="I3004" s="10">
        <v>73.36</v>
      </c>
    </row>
    <row r="3005" spans="1:9" ht="21.75" customHeight="1">
      <c r="A3005" s="8" t="s">
        <v>19</v>
      </c>
      <c r="B3005" s="8" t="s">
        <v>17</v>
      </c>
      <c r="C3005" s="9" t="str">
        <f t="shared" si="67"/>
        <v>230121</v>
      </c>
      <c r="D3005" s="9" t="str">
        <f>"230904801"</f>
        <v>230904801</v>
      </c>
      <c r="E3005" s="10">
        <v>74.569999999999993</v>
      </c>
      <c r="F3005" s="10"/>
      <c r="G3005" s="10">
        <v>72.5</v>
      </c>
      <c r="H3005" s="10"/>
      <c r="I3005" s="10">
        <v>73.33</v>
      </c>
    </row>
    <row r="3006" spans="1:9" ht="21.75" customHeight="1">
      <c r="A3006" s="8" t="s">
        <v>19</v>
      </c>
      <c r="B3006" s="8" t="s">
        <v>17</v>
      </c>
      <c r="C3006" s="9" t="str">
        <f t="shared" si="67"/>
        <v>230121</v>
      </c>
      <c r="D3006" s="9" t="str">
        <f>"230905018"</f>
        <v>230905018</v>
      </c>
      <c r="E3006" s="10">
        <v>70.55</v>
      </c>
      <c r="F3006" s="10"/>
      <c r="G3006" s="10">
        <v>75</v>
      </c>
      <c r="H3006" s="10"/>
      <c r="I3006" s="10">
        <v>73.22</v>
      </c>
    </row>
    <row r="3007" spans="1:9" ht="21.75" customHeight="1">
      <c r="A3007" s="8" t="s">
        <v>19</v>
      </c>
      <c r="B3007" s="8" t="s">
        <v>17</v>
      </c>
      <c r="C3007" s="9" t="str">
        <f t="shared" si="67"/>
        <v>230121</v>
      </c>
      <c r="D3007" s="9" t="str">
        <f>"230904908"</f>
        <v>230904908</v>
      </c>
      <c r="E3007" s="10">
        <v>76.430000000000007</v>
      </c>
      <c r="F3007" s="10"/>
      <c r="G3007" s="10">
        <v>71</v>
      </c>
      <c r="H3007" s="10"/>
      <c r="I3007" s="10">
        <v>73.17</v>
      </c>
    </row>
    <row r="3008" spans="1:9" s="1" customFormat="1" ht="21.75" customHeight="1">
      <c r="A3008" s="8" t="s">
        <v>19</v>
      </c>
      <c r="B3008" s="8" t="s">
        <v>17</v>
      </c>
      <c r="C3008" s="9" t="str">
        <f t="shared" si="67"/>
        <v>230121</v>
      </c>
      <c r="D3008" s="9" t="str">
        <f>"230904803"</f>
        <v>230904803</v>
      </c>
      <c r="E3008" s="10">
        <v>75.37</v>
      </c>
      <c r="F3008" s="10"/>
      <c r="G3008" s="10">
        <v>71.5</v>
      </c>
      <c r="H3008" s="10"/>
      <c r="I3008" s="10">
        <v>73.05</v>
      </c>
    </row>
    <row r="3009" spans="1:9" ht="21.75" customHeight="1">
      <c r="A3009" s="8" t="s">
        <v>19</v>
      </c>
      <c r="B3009" s="8" t="s">
        <v>17</v>
      </c>
      <c r="C3009" s="9" t="str">
        <f t="shared" si="67"/>
        <v>230121</v>
      </c>
      <c r="D3009" s="9" t="str">
        <f>"230904826"</f>
        <v>230904826</v>
      </c>
      <c r="E3009" s="10">
        <v>68.61</v>
      </c>
      <c r="F3009" s="10"/>
      <c r="G3009" s="10">
        <v>75.5</v>
      </c>
      <c r="H3009" s="10"/>
      <c r="I3009" s="10">
        <v>72.739999999999995</v>
      </c>
    </row>
    <row r="3010" spans="1:9" ht="21.75" customHeight="1">
      <c r="A3010" s="8" t="s">
        <v>19</v>
      </c>
      <c r="B3010" s="8" t="s">
        <v>17</v>
      </c>
      <c r="C3010" s="9" t="str">
        <f t="shared" si="67"/>
        <v>230121</v>
      </c>
      <c r="D3010" s="9" t="str">
        <f>"230904629"</f>
        <v>230904629</v>
      </c>
      <c r="E3010" s="10">
        <v>75.27</v>
      </c>
      <c r="F3010" s="10"/>
      <c r="G3010" s="10">
        <v>71</v>
      </c>
      <c r="H3010" s="10"/>
      <c r="I3010" s="10">
        <v>72.709999999999994</v>
      </c>
    </row>
    <row r="3011" spans="1:9" ht="21.75" customHeight="1">
      <c r="A3011" s="8" t="s">
        <v>19</v>
      </c>
      <c r="B3011" s="8" t="s">
        <v>17</v>
      </c>
      <c r="C3011" s="9" t="str">
        <f t="shared" si="67"/>
        <v>230121</v>
      </c>
      <c r="D3011" s="9" t="str">
        <f>"230904905"</f>
        <v>230904905</v>
      </c>
      <c r="E3011" s="10">
        <v>72.75</v>
      </c>
      <c r="F3011" s="10"/>
      <c r="G3011" s="10">
        <v>72.5</v>
      </c>
      <c r="H3011" s="10"/>
      <c r="I3011" s="10">
        <v>72.599999999999994</v>
      </c>
    </row>
    <row r="3012" spans="1:9" ht="21.75" customHeight="1">
      <c r="A3012" s="8" t="s">
        <v>19</v>
      </c>
      <c r="B3012" s="8" t="s">
        <v>17</v>
      </c>
      <c r="C3012" s="9" t="str">
        <f t="shared" si="67"/>
        <v>230121</v>
      </c>
      <c r="D3012" s="9" t="str">
        <f>"230905012"</f>
        <v>230905012</v>
      </c>
      <c r="E3012" s="10">
        <v>74.22</v>
      </c>
      <c r="F3012" s="10"/>
      <c r="G3012" s="10">
        <v>71.5</v>
      </c>
      <c r="H3012" s="10"/>
      <c r="I3012" s="10">
        <v>72.59</v>
      </c>
    </row>
    <row r="3013" spans="1:9" ht="21.75" customHeight="1">
      <c r="A3013" s="8" t="s">
        <v>19</v>
      </c>
      <c r="B3013" s="8" t="s">
        <v>17</v>
      </c>
      <c r="C3013" s="9" t="str">
        <f t="shared" si="67"/>
        <v>230121</v>
      </c>
      <c r="D3013" s="9" t="str">
        <f>"230904808"</f>
        <v>230904808</v>
      </c>
      <c r="E3013" s="10">
        <v>74.930000000000007</v>
      </c>
      <c r="F3013" s="10"/>
      <c r="G3013" s="10">
        <v>71</v>
      </c>
      <c r="H3013" s="10"/>
      <c r="I3013" s="10">
        <v>72.569999999999993</v>
      </c>
    </row>
    <row r="3014" spans="1:9" s="1" customFormat="1" ht="21.75" customHeight="1">
      <c r="A3014" s="8" t="s">
        <v>19</v>
      </c>
      <c r="B3014" s="8" t="s">
        <v>17</v>
      </c>
      <c r="C3014" s="9" t="str">
        <f t="shared" si="67"/>
        <v>230121</v>
      </c>
      <c r="D3014" s="9" t="str">
        <f>"230904811"</f>
        <v>230904811</v>
      </c>
      <c r="E3014" s="10">
        <v>79.31</v>
      </c>
      <c r="F3014" s="10"/>
      <c r="G3014" s="10">
        <v>68</v>
      </c>
      <c r="H3014" s="10"/>
      <c r="I3014" s="10">
        <v>72.52</v>
      </c>
    </row>
    <row r="3015" spans="1:9" s="1" customFormat="1" ht="21.75" customHeight="1">
      <c r="A3015" s="8" t="s">
        <v>19</v>
      </c>
      <c r="B3015" s="8" t="s">
        <v>17</v>
      </c>
      <c r="C3015" s="9" t="str">
        <f t="shared" si="67"/>
        <v>230121</v>
      </c>
      <c r="D3015" s="9" t="str">
        <f>"230904602"</f>
        <v>230904602</v>
      </c>
      <c r="E3015" s="10">
        <v>77.22</v>
      </c>
      <c r="F3015" s="10"/>
      <c r="G3015" s="10">
        <v>69</v>
      </c>
      <c r="H3015" s="10"/>
      <c r="I3015" s="10">
        <v>72.290000000000006</v>
      </c>
    </row>
    <row r="3016" spans="1:9" ht="21.75" customHeight="1">
      <c r="A3016" s="8" t="s">
        <v>19</v>
      </c>
      <c r="B3016" s="8" t="s">
        <v>17</v>
      </c>
      <c r="C3016" s="9" t="str">
        <f t="shared" si="67"/>
        <v>230121</v>
      </c>
      <c r="D3016" s="9" t="str">
        <f>"230904930"</f>
        <v>230904930</v>
      </c>
      <c r="E3016" s="10">
        <v>75.5</v>
      </c>
      <c r="F3016" s="10"/>
      <c r="G3016" s="10">
        <v>70</v>
      </c>
      <c r="H3016" s="10"/>
      <c r="I3016" s="10">
        <v>72.2</v>
      </c>
    </row>
    <row r="3017" spans="1:9" s="1" customFormat="1" ht="21.75" customHeight="1">
      <c r="A3017" s="8" t="s">
        <v>19</v>
      </c>
      <c r="B3017" s="8" t="s">
        <v>17</v>
      </c>
      <c r="C3017" s="9" t="str">
        <f t="shared" si="67"/>
        <v>230121</v>
      </c>
      <c r="D3017" s="9" t="str">
        <f>"230905007"</f>
        <v>230905007</v>
      </c>
      <c r="E3017" s="10">
        <v>64.92</v>
      </c>
      <c r="F3017" s="10"/>
      <c r="G3017" s="10">
        <v>77</v>
      </c>
      <c r="H3017" s="10"/>
      <c r="I3017" s="10">
        <v>72.17</v>
      </c>
    </row>
    <row r="3018" spans="1:9" ht="21.75" customHeight="1">
      <c r="A3018" s="8" t="s">
        <v>19</v>
      </c>
      <c r="B3018" s="8" t="s">
        <v>17</v>
      </c>
      <c r="C3018" s="9" t="str">
        <f t="shared" si="67"/>
        <v>230121</v>
      </c>
      <c r="D3018" s="9" t="str">
        <f>"230904802"</f>
        <v>230904802</v>
      </c>
      <c r="E3018" s="10">
        <v>74.569999999999993</v>
      </c>
      <c r="F3018" s="10"/>
      <c r="G3018" s="10">
        <v>70.5</v>
      </c>
      <c r="H3018" s="10"/>
      <c r="I3018" s="10">
        <v>72.13</v>
      </c>
    </row>
    <row r="3019" spans="1:9" ht="21.75" customHeight="1">
      <c r="A3019" s="8" t="s">
        <v>19</v>
      </c>
      <c r="B3019" s="8" t="s">
        <v>17</v>
      </c>
      <c r="C3019" s="9" t="str">
        <f t="shared" si="67"/>
        <v>230121</v>
      </c>
      <c r="D3019" s="9" t="str">
        <f>"230904730"</f>
        <v>230904730</v>
      </c>
      <c r="E3019" s="10">
        <v>69.86</v>
      </c>
      <c r="F3019" s="10"/>
      <c r="G3019" s="10">
        <v>73.5</v>
      </c>
      <c r="H3019" s="10"/>
      <c r="I3019" s="10">
        <v>72.040000000000006</v>
      </c>
    </row>
    <row r="3020" spans="1:9" ht="21.75" customHeight="1">
      <c r="A3020" s="8" t="s">
        <v>19</v>
      </c>
      <c r="B3020" s="8" t="s">
        <v>17</v>
      </c>
      <c r="C3020" s="9" t="str">
        <f t="shared" si="67"/>
        <v>230121</v>
      </c>
      <c r="D3020" s="9" t="str">
        <f>"230904910"</f>
        <v>230904910</v>
      </c>
      <c r="E3020" s="10">
        <v>69.97</v>
      </c>
      <c r="F3020" s="10"/>
      <c r="G3020" s="10">
        <v>73</v>
      </c>
      <c r="H3020" s="10"/>
      <c r="I3020" s="10">
        <v>71.790000000000006</v>
      </c>
    </row>
    <row r="3021" spans="1:9" ht="21.75" customHeight="1">
      <c r="A3021" s="8" t="s">
        <v>19</v>
      </c>
      <c r="B3021" s="8" t="s">
        <v>17</v>
      </c>
      <c r="C3021" s="9" t="str">
        <f t="shared" si="67"/>
        <v>230121</v>
      </c>
      <c r="D3021" s="9" t="str">
        <f>"230904814"</f>
        <v>230904814</v>
      </c>
      <c r="E3021" s="10">
        <v>67.55</v>
      </c>
      <c r="F3021" s="10"/>
      <c r="G3021" s="10">
        <v>74.5</v>
      </c>
      <c r="H3021" s="10"/>
      <c r="I3021" s="10">
        <v>71.72</v>
      </c>
    </row>
    <row r="3022" spans="1:9" ht="21.75" customHeight="1">
      <c r="A3022" s="8" t="s">
        <v>19</v>
      </c>
      <c r="B3022" s="8" t="s">
        <v>17</v>
      </c>
      <c r="C3022" s="9" t="str">
        <f t="shared" si="67"/>
        <v>230121</v>
      </c>
      <c r="D3022" s="9" t="str">
        <f>"230904906"</f>
        <v>230904906</v>
      </c>
      <c r="E3022" s="10">
        <v>68.25</v>
      </c>
      <c r="F3022" s="10"/>
      <c r="G3022" s="10">
        <v>74</v>
      </c>
      <c r="H3022" s="10"/>
      <c r="I3022" s="10">
        <v>71.7</v>
      </c>
    </row>
    <row r="3023" spans="1:9" ht="21.75" customHeight="1">
      <c r="A3023" s="8" t="s">
        <v>19</v>
      </c>
      <c r="B3023" s="8" t="s">
        <v>17</v>
      </c>
      <c r="C3023" s="9" t="str">
        <f t="shared" si="67"/>
        <v>230121</v>
      </c>
      <c r="D3023" s="9" t="str">
        <f>"230904716"</f>
        <v>230904716</v>
      </c>
      <c r="E3023" s="10">
        <v>75.73</v>
      </c>
      <c r="F3023" s="10"/>
      <c r="G3023" s="10">
        <v>69</v>
      </c>
      <c r="H3023" s="10"/>
      <c r="I3023" s="10">
        <v>71.69</v>
      </c>
    </row>
    <row r="3024" spans="1:9" ht="21.75" customHeight="1">
      <c r="A3024" s="8" t="s">
        <v>19</v>
      </c>
      <c r="B3024" s="8" t="s">
        <v>17</v>
      </c>
      <c r="C3024" s="9" t="str">
        <f t="shared" si="67"/>
        <v>230121</v>
      </c>
      <c r="D3024" s="9" t="str">
        <f>"230904817"</f>
        <v>230904817</v>
      </c>
      <c r="E3024" s="10">
        <v>70.89</v>
      </c>
      <c r="F3024" s="10"/>
      <c r="G3024" s="10">
        <v>72</v>
      </c>
      <c r="H3024" s="10"/>
      <c r="I3024" s="10">
        <v>71.56</v>
      </c>
    </row>
    <row r="3025" spans="1:9" ht="21.75" customHeight="1">
      <c r="A3025" s="8" t="s">
        <v>19</v>
      </c>
      <c r="B3025" s="8" t="s">
        <v>17</v>
      </c>
      <c r="C3025" s="9" t="str">
        <f t="shared" si="67"/>
        <v>230121</v>
      </c>
      <c r="D3025" s="9" t="str">
        <f>"230904527"</f>
        <v>230904527</v>
      </c>
      <c r="E3025" s="10">
        <v>71.599999999999994</v>
      </c>
      <c r="F3025" s="10"/>
      <c r="G3025" s="10">
        <v>71.5</v>
      </c>
      <c r="H3025" s="10"/>
      <c r="I3025" s="10">
        <v>71.540000000000006</v>
      </c>
    </row>
    <row r="3026" spans="1:9" ht="21.75" customHeight="1">
      <c r="A3026" s="8" t="s">
        <v>19</v>
      </c>
      <c r="B3026" s="8" t="s">
        <v>17</v>
      </c>
      <c r="C3026" s="9" t="str">
        <f t="shared" si="67"/>
        <v>230121</v>
      </c>
      <c r="D3026" s="9" t="str">
        <f>"230904611"</f>
        <v>230904611</v>
      </c>
      <c r="E3026" s="10">
        <v>67.8</v>
      </c>
      <c r="F3026" s="10"/>
      <c r="G3026" s="10">
        <v>73.5</v>
      </c>
      <c r="H3026" s="10"/>
      <c r="I3026" s="10">
        <v>71.22</v>
      </c>
    </row>
    <row r="3027" spans="1:9" ht="21.75" customHeight="1">
      <c r="A3027" s="8" t="s">
        <v>19</v>
      </c>
      <c r="B3027" s="8" t="s">
        <v>17</v>
      </c>
      <c r="C3027" s="9" t="str">
        <f t="shared" si="67"/>
        <v>230121</v>
      </c>
      <c r="D3027" s="9" t="str">
        <f>"230904926"</f>
        <v>230904926</v>
      </c>
      <c r="E3027" s="10">
        <v>68.489999999999995</v>
      </c>
      <c r="F3027" s="10"/>
      <c r="G3027" s="10">
        <v>73</v>
      </c>
      <c r="H3027" s="10"/>
      <c r="I3027" s="10">
        <v>71.2</v>
      </c>
    </row>
    <row r="3028" spans="1:9" ht="21.75" customHeight="1">
      <c r="A3028" s="8" t="s">
        <v>19</v>
      </c>
      <c r="B3028" s="8" t="s">
        <v>17</v>
      </c>
      <c r="C3028" s="9" t="str">
        <f t="shared" si="67"/>
        <v>230121</v>
      </c>
      <c r="D3028" s="9" t="str">
        <f>"230904603"</f>
        <v>230904603</v>
      </c>
      <c r="E3028" s="10">
        <v>67.56</v>
      </c>
      <c r="F3028" s="10"/>
      <c r="G3028" s="10">
        <v>73.5</v>
      </c>
      <c r="H3028" s="10"/>
      <c r="I3028" s="10">
        <v>71.12</v>
      </c>
    </row>
    <row r="3029" spans="1:9" ht="21.75" customHeight="1">
      <c r="A3029" s="8" t="s">
        <v>19</v>
      </c>
      <c r="B3029" s="8" t="s">
        <v>17</v>
      </c>
      <c r="C3029" s="9" t="str">
        <f t="shared" si="67"/>
        <v>230121</v>
      </c>
      <c r="D3029" s="9" t="str">
        <f>"230905020"</f>
        <v>230905020</v>
      </c>
      <c r="E3029" s="10">
        <v>65.27</v>
      </c>
      <c r="F3029" s="10"/>
      <c r="G3029" s="10">
        <v>75</v>
      </c>
      <c r="H3029" s="10"/>
      <c r="I3029" s="10">
        <v>71.11</v>
      </c>
    </row>
    <row r="3030" spans="1:9" ht="21.75" customHeight="1">
      <c r="A3030" s="8" t="s">
        <v>19</v>
      </c>
      <c r="B3030" s="8" t="s">
        <v>17</v>
      </c>
      <c r="C3030" s="9" t="str">
        <f t="shared" si="67"/>
        <v>230121</v>
      </c>
      <c r="D3030" s="9" t="str">
        <f>"230904830"</f>
        <v>230904830</v>
      </c>
      <c r="E3030" s="10">
        <v>74.25</v>
      </c>
      <c r="F3030" s="10"/>
      <c r="G3030" s="10">
        <v>69</v>
      </c>
      <c r="H3030" s="10"/>
      <c r="I3030" s="10">
        <v>71.099999999999994</v>
      </c>
    </row>
    <row r="3031" spans="1:9" s="1" customFormat="1" ht="21.75" customHeight="1">
      <c r="A3031" s="8" t="s">
        <v>19</v>
      </c>
      <c r="B3031" s="8" t="s">
        <v>17</v>
      </c>
      <c r="C3031" s="9" t="str">
        <f t="shared" si="67"/>
        <v>230121</v>
      </c>
      <c r="D3031" s="9" t="str">
        <f>"230904902"</f>
        <v>230904902</v>
      </c>
      <c r="E3031" s="10">
        <v>74.47</v>
      </c>
      <c r="F3031" s="10"/>
      <c r="G3031" s="10">
        <v>68.5</v>
      </c>
      <c r="H3031" s="10"/>
      <c r="I3031" s="10">
        <v>70.89</v>
      </c>
    </row>
    <row r="3032" spans="1:9" s="1" customFormat="1" ht="21.75" customHeight="1">
      <c r="A3032" s="8" t="s">
        <v>19</v>
      </c>
      <c r="B3032" s="8" t="s">
        <v>17</v>
      </c>
      <c r="C3032" s="9" t="str">
        <f t="shared" si="67"/>
        <v>230121</v>
      </c>
      <c r="D3032" s="9" t="str">
        <f>"230904720"</f>
        <v>230904720</v>
      </c>
      <c r="E3032" s="10">
        <v>65.84</v>
      </c>
      <c r="F3032" s="10"/>
      <c r="G3032" s="10">
        <v>74</v>
      </c>
      <c r="H3032" s="10"/>
      <c r="I3032" s="10">
        <v>70.739999999999995</v>
      </c>
    </row>
    <row r="3033" spans="1:9" s="1" customFormat="1" ht="21.75" customHeight="1">
      <c r="A3033" s="8" t="s">
        <v>19</v>
      </c>
      <c r="B3033" s="8" t="s">
        <v>17</v>
      </c>
      <c r="C3033" s="9" t="str">
        <f t="shared" si="67"/>
        <v>230121</v>
      </c>
      <c r="D3033" s="9" t="str">
        <f>"230905023"</f>
        <v>230905023</v>
      </c>
      <c r="E3033" s="10">
        <v>72.17</v>
      </c>
      <c r="F3033" s="10"/>
      <c r="G3033" s="10">
        <v>69.5</v>
      </c>
      <c r="H3033" s="10"/>
      <c r="I3033" s="10">
        <v>70.569999999999993</v>
      </c>
    </row>
    <row r="3034" spans="1:9" ht="21.75" customHeight="1">
      <c r="A3034" s="8" t="s">
        <v>19</v>
      </c>
      <c r="B3034" s="8" t="s">
        <v>17</v>
      </c>
      <c r="C3034" s="9" t="str">
        <f t="shared" si="67"/>
        <v>230121</v>
      </c>
      <c r="D3034" s="9" t="str">
        <f>"230904710"</f>
        <v>230904710</v>
      </c>
      <c r="E3034" s="10">
        <v>66.760000000000005</v>
      </c>
      <c r="F3034" s="10"/>
      <c r="G3034" s="10">
        <v>73</v>
      </c>
      <c r="H3034" s="10"/>
      <c r="I3034" s="10">
        <v>70.5</v>
      </c>
    </row>
    <row r="3035" spans="1:9" ht="21.75" customHeight="1">
      <c r="A3035" s="8" t="s">
        <v>19</v>
      </c>
      <c r="B3035" s="8" t="s">
        <v>17</v>
      </c>
      <c r="C3035" s="9" t="str">
        <f t="shared" ref="C3035:C3066" si="68">"230121"</f>
        <v>230121</v>
      </c>
      <c r="D3035" s="9" t="str">
        <f>"230904529"</f>
        <v>230904529</v>
      </c>
      <c r="E3035" s="10">
        <v>65.38</v>
      </c>
      <c r="F3035" s="10"/>
      <c r="G3035" s="10">
        <v>73.5</v>
      </c>
      <c r="H3035" s="10"/>
      <c r="I3035" s="10">
        <v>70.25</v>
      </c>
    </row>
    <row r="3036" spans="1:9" ht="21.75" customHeight="1">
      <c r="A3036" s="8" t="s">
        <v>19</v>
      </c>
      <c r="B3036" s="8" t="s">
        <v>17</v>
      </c>
      <c r="C3036" s="9" t="str">
        <f t="shared" si="68"/>
        <v>230121</v>
      </c>
      <c r="D3036" s="9" t="str">
        <f>"230904709"</f>
        <v>230904709</v>
      </c>
      <c r="E3036" s="10">
        <v>69.16</v>
      </c>
      <c r="F3036" s="10"/>
      <c r="G3036" s="10">
        <v>70.5</v>
      </c>
      <c r="H3036" s="10"/>
      <c r="I3036" s="10">
        <v>69.959999999999994</v>
      </c>
    </row>
    <row r="3037" spans="1:9" ht="21.75" customHeight="1">
      <c r="A3037" s="8" t="s">
        <v>19</v>
      </c>
      <c r="B3037" s="8" t="s">
        <v>17</v>
      </c>
      <c r="C3037" s="9" t="str">
        <f t="shared" si="68"/>
        <v>230121</v>
      </c>
      <c r="D3037" s="9" t="str">
        <f>"230904901"</f>
        <v>230904901</v>
      </c>
      <c r="E3037" s="10">
        <v>75.849999999999994</v>
      </c>
      <c r="F3037" s="10"/>
      <c r="G3037" s="10">
        <v>66</v>
      </c>
      <c r="H3037" s="10"/>
      <c r="I3037" s="10">
        <v>69.94</v>
      </c>
    </row>
    <row r="3038" spans="1:9" ht="21.75" customHeight="1">
      <c r="A3038" s="8" t="s">
        <v>19</v>
      </c>
      <c r="B3038" s="8" t="s">
        <v>17</v>
      </c>
      <c r="C3038" s="9" t="str">
        <f t="shared" si="68"/>
        <v>230121</v>
      </c>
      <c r="D3038" s="9" t="str">
        <f>"230904915"</f>
        <v>230904915</v>
      </c>
      <c r="E3038" s="10">
        <v>77.34</v>
      </c>
      <c r="F3038" s="10"/>
      <c r="G3038" s="10">
        <v>65</v>
      </c>
      <c r="H3038" s="10"/>
      <c r="I3038" s="10">
        <v>69.94</v>
      </c>
    </row>
    <row r="3039" spans="1:9" ht="21.75" customHeight="1">
      <c r="A3039" s="8" t="s">
        <v>19</v>
      </c>
      <c r="B3039" s="8" t="s">
        <v>17</v>
      </c>
      <c r="C3039" s="9" t="str">
        <f t="shared" si="68"/>
        <v>230121</v>
      </c>
      <c r="D3039" s="9" t="str">
        <f>"230904909"</f>
        <v>230904909</v>
      </c>
      <c r="E3039" s="10">
        <v>67.33</v>
      </c>
      <c r="F3039" s="10"/>
      <c r="G3039" s="10">
        <v>71.5</v>
      </c>
      <c r="H3039" s="10"/>
      <c r="I3039" s="10">
        <v>69.83</v>
      </c>
    </row>
    <row r="3040" spans="1:9" ht="21.75" customHeight="1">
      <c r="A3040" s="8" t="s">
        <v>19</v>
      </c>
      <c r="B3040" s="8" t="s">
        <v>17</v>
      </c>
      <c r="C3040" s="9" t="str">
        <f t="shared" si="68"/>
        <v>230121</v>
      </c>
      <c r="D3040" s="9" t="str">
        <f>"230904622"</f>
        <v>230904622</v>
      </c>
      <c r="E3040" s="10">
        <v>68.36</v>
      </c>
      <c r="F3040" s="10"/>
      <c r="G3040" s="10">
        <v>70.5</v>
      </c>
      <c r="H3040" s="10"/>
      <c r="I3040" s="10">
        <v>69.64</v>
      </c>
    </row>
    <row r="3041" spans="1:9" ht="21.75" customHeight="1">
      <c r="A3041" s="8" t="s">
        <v>19</v>
      </c>
      <c r="B3041" s="8" t="s">
        <v>17</v>
      </c>
      <c r="C3041" s="9" t="str">
        <f t="shared" si="68"/>
        <v>230121</v>
      </c>
      <c r="D3041" s="9" t="str">
        <f>"230904807"</f>
        <v>230904807</v>
      </c>
      <c r="E3041" s="10">
        <v>65.239999999999995</v>
      </c>
      <c r="F3041" s="10"/>
      <c r="G3041" s="10">
        <v>72.5</v>
      </c>
      <c r="H3041" s="10"/>
      <c r="I3041" s="10">
        <v>69.599999999999994</v>
      </c>
    </row>
    <row r="3042" spans="1:9" s="1" customFormat="1" ht="21.75" customHeight="1">
      <c r="A3042" s="8" t="s">
        <v>19</v>
      </c>
      <c r="B3042" s="8" t="s">
        <v>17</v>
      </c>
      <c r="C3042" s="9" t="str">
        <f t="shared" si="68"/>
        <v>230121</v>
      </c>
      <c r="D3042" s="9" t="str">
        <f>"230904818"</f>
        <v>230904818</v>
      </c>
      <c r="E3042" s="10">
        <v>72.41</v>
      </c>
      <c r="F3042" s="10"/>
      <c r="G3042" s="10">
        <v>67.5</v>
      </c>
      <c r="H3042" s="10"/>
      <c r="I3042" s="10">
        <v>69.459999999999994</v>
      </c>
    </row>
    <row r="3043" spans="1:9" s="1" customFormat="1" ht="21.75" customHeight="1">
      <c r="A3043" s="8" t="s">
        <v>19</v>
      </c>
      <c r="B3043" s="8" t="s">
        <v>17</v>
      </c>
      <c r="C3043" s="9" t="str">
        <f t="shared" si="68"/>
        <v>230121</v>
      </c>
      <c r="D3043" s="9" t="str">
        <f>"230904613"</f>
        <v>230904613</v>
      </c>
      <c r="E3043" s="10">
        <v>80.33</v>
      </c>
      <c r="F3043" s="10"/>
      <c r="G3043" s="10">
        <v>62</v>
      </c>
      <c r="H3043" s="10"/>
      <c r="I3043" s="10">
        <v>69.33</v>
      </c>
    </row>
    <row r="3044" spans="1:9" ht="21.75" customHeight="1">
      <c r="A3044" s="8" t="s">
        <v>19</v>
      </c>
      <c r="B3044" s="8" t="s">
        <v>17</v>
      </c>
      <c r="C3044" s="9" t="str">
        <f t="shared" si="68"/>
        <v>230121</v>
      </c>
      <c r="D3044" s="9" t="str">
        <f>"230904620"</f>
        <v>230904620</v>
      </c>
      <c r="E3044" s="10">
        <v>64.44</v>
      </c>
      <c r="F3044" s="10"/>
      <c r="G3044" s="10">
        <v>72.5</v>
      </c>
      <c r="H3044" s="10"/>
      <c r="I3044" s="10">
        <v>69.28</v>
      </c>
    </row>
    <row r="3045" spans="1:9" ht="21.75" customHeight="1">
      <c r="A3045" s="8" t="s">
        <v>19</v>
      </c>
      <c r="B3045" s="8" t="s">
        <v>17</v>
      </c>
      <c r="C3045" s="9" t="str">
        <f t="shared" si="68"/>
        <v>230121</v>
      </c>
      <c r="D3045" s="9" t="str">
        <f>"230904718"</f>
        <v>230904718</v>
      </c>
      <c r="E3045" s="10">
        <v>60.3</v>
      </c>
      <c r="F3045" s="10"/>
      <c r="G3045" s="10">
        <v>75</v>
      </c>
      <c r="H3045" s="10"/>
      <c r="I3045" s="10">
        <v>69.12</v>
      </c>
    </row>
    <row r="3046" spans="1:9" s="1" customFormat="1" ht="21.75" customHeight="1">
      <c r="A3046" s="8" t="s">
        <v>19</v>
      </c>
      <c r="B3046" s="8" t="s">
        <v>17</v>
      </c>
      <c r="C3046" s="9" t="str">
        <f t="shared" si="68"/>
        <v>230121</v>
      </c>
      <c r="D3046" s="9" t="str">
        <f>"230904623"</f>
        <v>230904623</v>
      </c>
      <c r="E3046" s="10">
        <v>67.78</v>
      </c>
      <c r="F3046" s="10"/>
      <c r="G3046" s="10">
        <v>70</v>
      </c>
      <c r="H3046" s="10"/>
      <c r="I3046" s="10">
        <v>69.11</v>
      </c>
    </row>
    <row r="3047" spans="1:9" s="1" customFormat="1" ht="21.75" customHeight="1">
      <c r="A3047" s="8" t="s">
        <v>19</v>
      </c>
      <c r="B3047" s="8" t="s">
        <v>17</v>
      </c>
      <c r="C3047" s="9" t="str">
        <f t="shared" si="68"/>
        <v>230121</v>
      </c>
      <c r="D3047" s="9" t="str">
        <f>"230904821"</f>
        <v>230904821</v>
      </c>
      <c r="E3047" s="10">
        <v>72.05</v>
      </c>
      <c r="F3047" s="10"/>
      <c r="G3047" s="10">
        <v>67</v>
      </c>
      <c r="H3047" s="10"/>
      <c r="I3047" s="10">
        <v>69.02</v>
      </c>
    </row>
    <row r="3048" spans="1:9" ht="21.75" customHeight="1">
      <c r="A3048" s="8" t="s">
        <v>19</v>
      </c>
      <c r="B3048" s="8" t="s">
        <v>17</v>
      </c>
      <c r="C3048" s="9" t="str">
        <f t="shared" si="68"/>
        <v>230121</v>
      </c>
      <c r="D3048" s="9" t="str">
        <f>"230905021"</f>
        <v>230905021</v>
      </c>
      <c r="E3048" s="10">
        <v>64.45</v>
      </c>
      <c r="F3048" s="10"/>
      <c r="G3048" s="10">
        <v>72</v>
      </c>
      <c r="H3048" s="10"/>
      <c r="I3048" s="10">
        <v>68.98</v>
      </c>
    </row>
    <row r="3049" spans="1:9" s="1" customFormat="1" ht="21.75" customHeight="1">
      <c r="A3049" s="8" t="s">
        <v>19</v>
      </c>
      <c r="B3049" s="8" t="s">
        <v>17</v>
      </c>
      <c r="C3049" s="9" t="str">
        <f t="shared" si="68"/>
        <v>230121</v>
      </c>
      <c r="D3049" s="9" t="str">
        <f>"230904626"</f>
        <v>230904626</v>
      </c>
      <c r="E3049" s="10">
        <v>69.06</v>
      </c>
      <c r="F3049" s="10"/>
      <c r="G3049" s="10">
        <v>68.5</v>
      </c>
      <c r="H3049" s="10"/>
      <c r="I3049" s="10">
        <v>68.72</v>
      </c>
    </row>
    <row r="3050" spans="1:9" s="1" customFormat="1" ht="21.75" customHeight="1">
      <c r="A3050" s="8" t="s">
        <v>19</v>
      </c>
      <c r="B3050" s="8" t="s">
        <v>17</v>
      </c>
      <c r="C3050" s="9" t="str">
        <f t="shared" si="68"/>
        <v>230121</v>
      </c>
      <c r="D3050" s="9" t="str">
        <f>"230904719"</f>
        <v>230904719</v>
      </c>
      <c r="E3050" s="10">
        <v>68.599999999999994</v>
      </c>
      <c r="F3050" s="10"/>
      <c r="G3050" s="10">
        <v>68.5</v>
      </c>
      <c r="H3050" s="10"/>
      <c r="I3050" s="10">
        <v>68.540000000000006</v>
      </c>
    </row>
    <row r="3051" spans="1:9" ht="21.75" customHeight="1">
      <c r="A3051" s="8" t="s">
        <v>19</v>
      </c>
      <c r="B3051" s="8" t="s">
        <v>17</v>
      </c>
      <c r="C3051" s="9" t="str">
        <f t="shared" si="68"/>
        <v>230121</v>
      </c>
      <c r="D3051" s="9" t="str">
        <f>"230904809"</f>
        <v>230904809</v>
      </c>
      <c r="E3051" s="10">
        <v>66.88</v>
      </c>
      <c r="F3051" s="10"/>
      <c r="G3051" s="10">
        <v>69.5</v>
      </c>
      <c r="H3051" s="10"/>
      <c r="I3051" s="10">
        <v>68.45</v>
      </c>
    </row>
    <row r="3052" spans="1:9" ht="21.75" customHeight="1">
      <c r="A3052" s="8" t="s">
        <v>19</v>
      </c>
      <c r="B3052" s="8" t="s">
        <v>17</v>
      </c>
      <c r="C3052" s="9" t="str">
        <f t="shared" si="68"/>
        <v>230121</v>
      </c>
      <c r="D3052" s="9" t="str">
        <f>"230904927"</f>
        <v>230904927</v>
      </c>
      <c r="E3052" s="10">
        <v>71.25</v>
      </c>
      <c r="F3052" s="10"/>
      <c r="G3052" s="10">
        <v>66.5</v>
      </c>
      <c r="H3052" s="10"/>
      <c r="I3052" s="10">
        <v>68.400000000000006</v>
      </c>
    </row>
    <row r="3053" spans="1:9" ht="21.75" customHeight="1">
      <c r="A3053" s="8" t="s">
        <v>19</v>
      </c>
      <c r="B3053" s="8" t="s">
        <v>17</v>
      </c>
      <c r="C3053" s="9" t="str">
        <f t="shared" si="68"/>
        <v>230121</v>
      </c>
      <c r="D3053" s="9" t="str">
        <f>"230905022"</f>
        <v>230905022</v>
      </c>
      <c r="E3053" s="10">
        <v>63.63</v>
      </c>
      <c r="F3053" s="10"/>
      <c r="G3053" s="10">
        <v>70.5</v>
      </c>
      <c r="H3053" s="10"/>
      <c r="I3053" s="10">
        <v>67.75</v>
      </c>
    </row>
    <row r="3054" spans="1:9" ht="21.75" customHeight="1">
      <c r="A3054" s="8" t="s">
        <v>19</v>
      </c>
      <c r="B3054" s="8" t="s">
        <v>17</v>
      </c>
      <c r="C3054" s="9" t="str">
        <f t="shared" si="68"/>
        <v>230121</v>
      </c>
      <c r="D3054" s="9" t="str">
        <f>"230904805"</f>
        <v>230904805</v>
      </c>
      <c r="E3054" s="10">
        <v>74.239999999999995</v>
      </c>
      <c r="F3054" s="10"/>
      <c r="G3054" s="10">
        <v>62</v>
      </c>
      <c r="H3054" s="10"/>
      <c r="I3054" s="10">
        <v>66.900000000000006</v>
      </c>
    </row>
    <row r="3055" spans="1:9" s="1" customFormat="1" ht="21.75" customHeight="1">
      <c r="A3055" s="8" t="s">
        <v>19</v>
      </c>
      <c r="B3055" s="8" t="s">
        <v>17</v>
      </c>
      <c r="C3055" s="9" t="str">
        <f t="shared" si="68"/>
        <v>230121</v>
      </c>
      <c r="D3055" s="9" t="str">
        <f>"230904713"</f>
        <v>230904713</v>
      </c>
      <c r="E3055" s="10">
        <v>64.459999999999994</v>
      </c>
      <c r="F3055" s="10"/>
      <c r="G3055" s="10">
        <v>68</v>
      </c>
      <c r="H3055" s="10"/>
      <c r="I3055" s="10">
        <v>66.58</v>
      </c>
    </row>
    <row r="3056" spans="1:9" ht="21.75" customHeight="1">
      <c r="A3056" s="8" t="s">
        <v>19</v>
      </c>
      <c r="B3056" s="8" t="s">
        <v>17</v>
      </c>
      <c r="C3056" s="9" t="str">
        <f t="shared" si="68"/>
        <v>230121</v>
      </c>
      <c r="D3056" s="9" t="str">
        <f>"230904816"</f>
        <v>230904816</v>
      </c>
      <c r="E3056" s="10">
        <v>56.77</v>
      </c>
      <c r="F3056" s="10"/>
      <c r="G3056" s="10">
        <v>72</v>
      </c>
      <c r="H3056" s="10"/>
      <c r="I3056" s="10">
        <v>65.91</v>
      </c>
    </row>
    <row r="3057" spans="1:9" ht="21.75" customHeight="1">
      <c r="A3057" s="8" t="s">
        <v>19</v>
      </c>
      <c r="B3057" s="8" t="s">
        <v>17</v>
      </c>
      <c r="C3057" s="9" t="str">
        <f t="shared" si="68"/>
        <v>230121</v>
      </c>
      <c r="D3057" s="9" t="str">
        <f>"230904729"</f>
        <v>230904729</v>
      </c>
      <c r="E3057" s="10">
        <v>62.95</v>
      </c>
      <c r="F3057" s="10"/>
      <c r="G3057" s="10">
        <v>67.5</v>
      </c>
      <c r="H3057" s="10"/>
      <c r="I3057" s="10">
        <v>65.680000000000007</v>
      </c>
    </row>
    <row r="3058" spans="1:9" ht="21.75" customHeight="1">
      <c r="A3058" s="8" t="s">
        <v>19</v>
      </c>
      <c r="B3058" s="8" t="s">
        <v>17</v>
      </c>
      <c r="C3058" s="9" t="str">
        <f t="shared" si="68"/>
        <v>230121</v>
      </c>
      <c r="D3058" s="9" t="str">
        <f>"230904806"</f>
        <v>230904806</v>
      </c>
      <c r="E3058" s="10">
        <v>62.4</v>
      </c>
      <c r="F3058" s="10"/>
      <c r="G3058" s="10">
        <v>67.5</v>
      </c>
      <c r="H3058" s="10"/>
      <c r="I3058" s="10">
        <v>65.459999999999994</v>
      </c>
    </row>
    <row r="3059" spans="1:9" ht="21.75" customHeight="1">
      <c r="A3059" s="8" t="s">
        <v>19</v>
      </c>
      <c r="B3059" s="8" t="s">
        <v>17</v>
      </c>
      <c r="C3059" s="9" t="str">
        <f t="shared" si="68"/>
        <v>230121</v>
      </c>
      <c r="D3059" s="9" t="str">
        <f>"230904828"</f>
        <v>230904828</v>
      </c>
      <c r="E3059" s="10">
        <v>71.13</v>
      </c>
      <c r="F3059" s="10"/>
      <c r="G3059" s="10">
        <v>61.5</v>
      </c>
      <c r="H3059" s="10"/>
      <c r="I3059" s="10">
        <v>65.349999999999994</v>
      </c>
    </row>
    <row r="3060" spans="1:9" s="1" customFormat="1" ht="21.75" customHeight="1">
      <c r="A3060" s="8" t="s">
        <v>19</v>
      </c>
      <c r="B3060" s="8" t="s">
        <v>17</v>
      </c>
      <c r="C3060" s="9" t="str">
        <f t="shared" si="68"/>
        <v>230121</v>
      </c>
      <c r="D3060" s="9" t="str">
        <f>"230904921"</f>
        <v>230904921</v>
      </c>
      <c r="E3060" s="10">
        <v>59.75</v>
      </c>
      <c r="F3060" s="10"/>
      <c r="G3060" s="10">
        <v>69</v>
      </c>
      <c r="H3060" s="10"/>
      <c r="I3060" s="10">
        <v>65.3</v>
      </c>
    </row>
    <row r="3061" spans="1:9" ht="21.75" customHeight="1">
      <c r="A3061" s="8" t="s">
        <v>19</v>
      </c>
      <c r="B3061" s="8" t="s">
        <v>17</v>
      </c>
      <c r="C3061" s="9" t="str">
        <f t="shared" si="68"/>
        <v>230121</v>
      </c>
      <c r="D3061" s="9" t="str">
        <f>"230904724"</f>
        <v>230904724</v>
      </c>
      <c r="E3061" s="10">
        <v>77.13</v>
      </c>
      <c r="F3061" s="10"/>
      <c r="G3061" s="10">
        <v>57</v>
      </c>
      <c r="H3061" s="10"/>
      <c r="I3061" s="10">
        <v>65.05</v>
      </c>
    </row>
    <row r="3062" spans="1:9" ht="21.75" customHeight="1">
      <c r="A3062" s="8" t="s">
        <v>19</v>
      </c>
      <c r="B3062" s="8" t="s">
        <v>17</v>
      </c>
      <c r="C3062" s="9" t="str">
        <f t="shared" si="68"/>
        <v>230121</v>
      </c>
      <c r="D3062" s="9" t="str">
        <f>"230904924"</f>
        <v>230904924</v>
      </c>
      <c r="E3062" s="10">
        <v>64.03</v>
      </c>
      <c r="F3062" s="10"/>
      <c r="G3062" s="10">
        <v>65</v>
      </c>
      <c r="H3062" s="10"/>
      <c r="I3062" s="10">
        <v>64.61</v>
      </c>
    </row>
    <row r="3063" spans="1:9" ht="21.75" customHeight="1">
      <c r="A3063" s="8" t="s">
        <v>19</v>
      </c>
      <c r="B3063" s="8" t="s">
        <v>17</v>
      </c>
      <c r="C3063" s="9" t="str">
        <f t="shared" si="68"/>
        <v>230121</v>
      </c>
      <c r="D3063" s="9" t="str">
        <f>"230904630"</f>
        <v>230904630</v>
      </c>
      <c r="E3063" s="10">
        <v>52.85</v>
      </c>
      <c r="F3063" s="10"/>
      <c r="G3063" s="10">
        <v>70.5</v>
      </c>
      <c r="H3063" s="10"/>
      <c r="I3063" s="10">
        <v>63.44</v>
      </c>
    </row>
    <row r="3064" spans="1:9" ht="21.75" customHeight="1">
      <c r="A3064" s="8" t="s">
        <v>19</v>
      </c>
      <c r="B3064" s="8" t="s">
        <v>17</v>
      </c>
      <c r="C3064" s="9" t="str">
        <f t="shared" si="68"/>
        <v>230121</v>
      </c>
      <c r="D3064" s="9" t="str">
        <f>"230905024"</f>
        <v>230905024</v>
      </c>
      <c r="E3064" s="10">
        <v>47.07</v>
      </c>
      <c r="F3064" s="10"/>
      <c r="G3064" s="10">
        <v>69</v>
      </c>
      <c r="H3064" s="10"/>
      <c r="I3064" s="10">
        <v>60.23</v>
      </c>
    </row>
    <row r="3065" spans="1:9" s="1" customFormat="1" ht="21.75" customHeight="1">
      <c r="A3065" s="8" t="s">
        <v>19</v>
      </c>
      <c r="B3065" s="8" t="s">
        <v>17</v>
      </c>
      <c r="C3065" s="9" t="str">
        <f t="shared" si="68"/>
        <v>230121</v>
      </c>
      <c r="D3065" s="9" t="str">
        <f>"230904619"</f>
        <v>230904619</v>
      </c>
      <c r="E3065" s="10">
        <v>63.53</v>
      </c>
      <c r="F3065" s="10"/>
      <c r="G3065" s="10">
        <v>58</v>
      </c>
      <c r="H3065" s="10"/>
      <c r="I3065" s="10">
        <v>60.21</v>
      </c>
    </row>
    <row r="3066" spans="1:9" ht="21.75" customHeight="1">
      <c r="A3066" s="8" t="s">
        <v>19</v>
      </c>
      <c r="B3066" s="8" t="s">
        <v>17</v>
      </c>
      <c r="C3066" s="9" t="str">
        <f t="shared" si="68"/>
        <v>230121</v>
      </c>
      <c r="D3066" s="9" t="str">
        <f>"230904727"</f>
        <v>230904727</v>
      </c>
      <c r="E3066" s="10">
        <v>53.99</v>
      </c>
      <c r="F3066" s="10"/>
      <c r="G3066" s="10">
        <v>62.5</v>
      </c>
      <c r="H3066" s="10"/>
      <c r="I3066" s="10">
        <v>59.1</v>
      </c>
    </row>
    <row r="3067" spans="1:9" s="1" customFormat="1" ht="21.75" customHeight="1">
      <c r="A3067" s="8" t="s">
        <v>19</v>
      </c>
      <c r="B3067" s="8" t="s">
        <v>17</v>
      </c>
      <c r="C3067" s="9" t="str">
        <f t="shared" ref="C3067:C3098" si="69">"230121"</f>
        <v>230121</v>
      </c>
      <c r="D3067" s="9" t="str">
        <f>"230904721"</f>
        <v>230904721</v>
      </c>
      <c r="E3067" s="10">
        <v>45.49</v>
      </c>
      <c r="F3067" s="10"/>
      <c r="G3067" s="10">
        <v>59.5</v>
      </c>
      <c r="H3067" s="10"/>
      <c r="I3067" s="10">
        <v>53.9</v>
      </c>
    </row>
    <row r="3068" spans="1:9" ht="21.75" customHeight="1">
      <c r="A3068" s="8" t="s">
        <v>19</v>
      </c>
      <c r="B3068" s="8" t="s">
        <v>17</v>
      </c>
      <c r="C3068" s="9" t="str">
        <f t="shared" si="69"/>
        <v>230121</v>
      </c>
      <c r="D3068" s="9" t="str">
        <f>"230905004"</f>
        <v>230905004</v>
      </c>
      <c r="E3068" s="10">
        <v>39.04</v>
      </c>
      <c r="F3068" s="10"/>
      <c r="G3068" s="10">
        <v>56.5</v>
      </c>
      <c r="H3068" s="10"/>
      <c r="I3068" s="10">
        <v>49.52</v>
      </c>
    </row>
    <row r="3069" spans="1:9" ht="21.75" customHeight="1">
      <c r="A3069" s="8" t="s">
        <v>19</v>
      </c>
      <c r="B3069" s="8" t="s">
        <v>17</v>
      </c>
      <c r="C3069" s="9" t="str">
        <f t="shared" si="69"/>
        <v>230121</v>
      </c>
      <c r="D3069" s="9" t="str">
        <f>"230904528"</f>
        <v>230904528</v>
      </c>
      <c r="E3069" s="10">
        <v>0</v>
      </c>
      <c r="F3069" s="10"/>
      <c r="G3069" s="10">
        <v>0</v>
      </c>
      <c r="H3069" s="10"/>
      <c r="I3069" s="10">
        <v>0</v>
      </c>
    </row>
    <row r="3070" spans="1:9" ht="21.75" customHeight="1">
      <c r="A3070" s="8" t="s">
        <v>19</v>
      </c>
      <c r="B3070" s="8" t="s">
        <v>17</v>
      </c>
      <c r="C3070" s="9" t="str">
        <f t="shared" si="69"/>
        <v>230121</v>
      </c>
      <c r="D3070" s="9" t="str">
        <f>"230904530"</f>
        <v>230904530</v>
      </c>
      <c r="E3070" s="10">
        <v>0</v>
      </c>
      <c r="F3070" s="10"/>
      <c r="G3070" s="10">
        <v>0</v>
      </c>
      <c r="H3070" s="10"/>
      <c r="I3070" s="10">
        <v>0</v>
      </c>
    </row>
    <row r="3071" spans="1:9" ht="21.75" customHeight="1">
      <c r="A3071" s="8" t="s">
        <v>19</v>
      </c>
      <c r="B3071" s="8" t="s">
        <v>17</v>
      </c>
      <c r="C3071" s="9" t="str">
        <f t="shared" si="69"/>
        <v>230121</v>
      </c>
      <c r="D3071" s="9" t="str">
        <f>"230904601"</f>
        <v>230904601</v>
      </c>
      <c r="E3071" s="10">
        <v>0</v>
      </c>
      <c r="F3071" s="10"/>
      <c r="G3071" s="10">
        <v>0</v>
      </c>
      <c r="H3071" s="10"/>
      <c r="I3071" s="10">
        <v>0</v>
      </c>
    </row>
    <row r="3072" spans="1:9" s="1" customFormat="1" ht="21.75" customHeight="1">
      <c r="A3072" s="8" t="s">
        <v>19</v>
      </c>
      <c r="B3072" s="8" t="s">
        <v>17</v>
      </c>
      <c r="C3072" s="9" t="str">
        <f t="shared" si="69"/>
        <v>230121</v>
      </c>
      <c r="D3072" s="9" t="str">
        <f>"230904604"</f>
        <v>230904604</v>
      </c>
      <c r="E3072" s="10">
        <v>0</v>
      </c>
      <c r="F3072" s="10"/>
      <c r="G3072" s="10">
        <v>0</v>
      </c>
      <c r="H3072" s="10"/>
      <c r="I3072" s="10">
        <v>0</v>
      </c>
    </row>
    <row r="3073" spans="1:9" ht="21.75" customHeight="1">
      <c r="A3073" s="8" t="s">
        <v>19</v>
      </c>
      <c r="B3073" s="8" t="s">
        <v>17</v>
      </c>
      <c r="C3073" s="9" t="str">
        <f t="shared" si="69"/>
        <v>230121</v>
      </c>
      <c r="D3073" s="9" t="str">
        <f>"230904605"</f>
        <v>230904605</v>
      </c>
      <c r="E3073" s="10">
        <v>0</v>
      </c>
      <c r="F3073" s="10"/>
      <c r="G3073" s="10">
        <v>0</v>
      </c>
      <c r="H3073" s="10"/>
      <c r="I3073" s="10">
        <v>0</v>
      </c>
    </row>
    <row r="3074" spans="1:9" ht="21.75" customHeight="1">
      <c r="A3074" s="8" t="s">
        <v>19</v>
      </c>
      <c r="B3074" s="8" t="s">
        <v>17</v>
      </c>
      <c r="C3074" s="9" t="str">
        <f t="shared" si="69"/>
        <v>230121</v>
      </c>
      <c r="D3074" s="9" t="str">
        <f>"230904606"</f>
        <v>230904606</v>
      </c>
      <c r="E3074" s="10">
        <v>0</v>
      </c>
      <c r="F3074" s="10"/>
      <c r="G3074" s="10">
        <v>0</v>
      </c>
      <c r="H3074" s="10"/>
      <c r="I3074" s="10">
        <v>0</v>
      </c>
    </row>
    <row r="3075" spans="1:9" s="1" customFormat="1" ht="21.75" customHeight="1">
      <c r="A3075" s="8" t="s">
        <v>19</v>
      </c>
      <c r="B3075" s="8" t="s">
        <v>17</v>
      </c>
      <c r="C3075" s="9" t="str">
        <f t="shared" si="69"/>
        <v>230121</v>
      </c>
      <c r="D3075" s="9" t="str">
        <f>"230904607"</f>
        <v>230904607</v>
      </c>
      <c r="E3075" s="10">
        <v>0</v>
      </c>
      <c r="F3075" s="10"/>
      <c r="G3075" s="10">
        <v>0</v>
      </c>
      <c r="H3075" s="10"/>
      <c r="I3075" s="10">
        <v>0</v>
      </c>
    </row>
    <row r="3076" spans="1:9" s="1" customFormat="1" ht="21.75" customHeight="1">
      <c r="A3076" s="8" t="s">
        <v>19</v>
      </c>
      <c r="B3076" s="8" t="s">
        <v>17</v>
      </c>
      <c r="C3076" s="9" t="str">
        <f t="shared" si="69"/>
        <v>230121</v>
      </c>
      <c r="D3076" s="9" t="str">
        <f>"230904608"</f>
        <v>230904608</v>
      </c>
      <c r="E3076" s="10">
        <v>0</v>
      </c>
      <c r="F3076" s="10"/>
      <c r="G3076" s="10">
        <v>0</v>
      </c>
      <c r="H3076" s="10"/>
      <c r="I3076" s="10">
        <v>0</v>
      </c>
    </row>
    <row r="3077" spans="1:9" s="1" customFormat="1" ht="21.75" customHeight="1">
      <c r="A3077" s="8" t="s">
        <v>19</v>
      </c>
      <c r="B3077" s="8" t="s">
        <v>17</v>
      </c>
      <c r="C3077" s="9" t="str">
        <f t="shared" si="69"/>
        <v>230121</v>
      </c>
      <c r="D3077" s="9" t="str">
        <f>"230904609"</f>
        <v>230904609</v>
      </c>
      <c r="E3077" s="10">
        <v>0</v>
      </c>
      <c r="F3077" s="10"/>
      <c r="G3077" s="10">
        <v>0</v>
      </c>
      <c r="H3077" s="10"/>
      <c r="I3077" s="10">
        <v>0</v>
      </c>
    </row>
    <row r="3078" spans="1:9" ht="21.75" customHeight="1">
      <c r="A3078" s="8" t="s">
        <v>19</v>
      </c>
      <c r="B3078" s="8" t="s">
        <v>17</v>
      </c>
      <c r="C3078" s="9" t="str">
        <f t="shared" si="69"/>
        <v>230121</v>
      </c>
      <c r="D3078" s="9" t="str">
        <f>"230904610"</f>
        <v>230904610</v>
      </c>
      <c r="E3078" s="10">
        <v>0</v>
      </c>
      <c r="F3078" s="10"/>
      <c r="G3078" s="10">
        <v>0</v>
      </c>
      <c r="H3078" s="10"/>
      <c r="I3078" s="10">
        <v>0</v>
      </c>
    </row>
    <row r="3079" spans="1:9" ht="21.75" customHeight="1">
      <c r="A3079" s="8" t="s">
        <v>19</v>
      </c>
      <c r="B3079" s="8" t="s">
        <v>17</v>
      </c>
      <c r="C3079" s="9" t="str">
        <f t="shared" si="69"/>
        <v>230121</v>
      </c>
      <c r="D3079" s="9" t="str">
        <f>"230904612"</f>
        <v>230904612</v>
      </c>
      <c r="E3079" s="10">
        <v>0</v>
      </c>
      <c r="F3079" s="10"/>
      <c r="G3079" s="10">
        <v>0</v>
      </c>
      <c r="H3079" s="10"/>
      <c r="I3079" s="10">
        <v>0</v>
      </c>
    </row>
    <row r="3080" spans="1:9" s="1" customFormat="1" ht="21.75" customHeight="1">
      <c r="A3080" s="8" t="s">
        <v>19</v>
      </c>
      <c r="B3080" s="8" t="s">
        <v>17</v>
      </c>
      <c r="C3080" s="9" t="str">
        <f t="shared" si="69"/>
        <v>230121</v>
      </c>
      <c r="D3080" s="9" t="str">
        <f>"230904614"</f>
        <v>230904614</v>
      </c>
      <c r="E3080" s="10">
        <v>0</v>
      </c>
      <c r="F3080" s="10"/>
      <c r="G3080" s="10">
        <v>0</v>
      </c>
      <c r="H3080" s="10"/>
      <c r="I3080" s="10">
        <v>0</v>
      </c>
    </row>
    <row r="3081" spans="1:9" ht="21.75" customHeight="1">
      <c r="A3081" s="8" t="s">
        <v>19</v>
      </c>
      <c r="B3081" s="8" t="s">
        <v>17</v>
      </c>
      <c r="C3081" s="9" t="str">
        <f t="shared" si="69"/>
        <v>230121</v>
      </c>
      <c r="D3081" s="9" t="str">
        <f>"230904618"</f>
        <v>230904618</v>
      </c>
      <c r="E3081" s="10">
        <v>0</v>
      </c>
      <c r="F3081" s="10"/>
      <c r="G3081" s="10">
        <v>0</v>
      </c>
      <c r="H3081" s="10"/>
      <c r="I3081" s="10">
        <v>0</v>
      </c>
    </row>
    <row r="3082" spans="1:9" s="1" customFormat="1" ht="21.75" customHeight="1">
      <c r="A3082" s="8" t="s">
        <v>19</v>
      </c>
      <c r="B3082" s="8" t="s">
        <v>17</v>
      </c>
      <c r="C3082" s="9" t="str">
        <f t="shared" si="69"/>
        <v>230121</v>
      </c>
      <c r="D3082" s="9" t="str">
        <f>"230904621"</f>
        <v>230904621</v>
      </c>
      <c r="E3082" s="10">
        <v>0</v>
      </c>
      <c r="F3082" s="10"/>
      <c r="G3082" s="10">
        <v>0</v>
      </c>
      <c r="H3082" s="10"/>
      <c r="I3082" s="10">
        <v>0</v>
      </c>
    </row>
    <row r="3083" spans="1:9" s="1" customFormat="1" ht="21.75" customHeight="1">
      <c r="A3083" s="8" t="s">
        <v>19</v>
      </c>
      <c r="B3083" s="8" t="s">
        <v>17</v>
      </c>
      <c r="C3083" s="9" t="str">
        <f t="shared" si="69"/>
        <v>230121</v>
      </c>
      <c r="D3083" s="9" t="str">
        <f>"230904624"</f>
        <v>230904624</v>
      </c>
      <c r="E3083" s="10">
        <v>0</v>
      </c>
      <c r="F3083" s="10"/>
      <c r="G3083" s="10">
        <v>0</v>
      </c>
      <c r="H3083" s="10"/>
      <c r="I3083" s="10">
        <v>0</v>
      </c>
    </row>
    <row r="3084" spans="1:9" s="1" customFormat="1" ht="21.75" customHeight="1">
      <c r="A3084" s="8" t="s">
        <v>19</v>
      </c>
      <c r="B3084" s="8" t="s">
        <v>17</v>
      </c>
      <c r="C3084" s="9" t="str">
        <f t="shared" si="69"/>
        <v>230121</v>
      </c>
      <c r="D3084" s="9" t="str">
        <f>"230904625"</f>
        <v>230904625</v>
      </c>
      <c r="E3084" s="10">
        <v>0</v>
      </c>
      <c r="F3084" s="10"/>
      <c r="G3084" s="10">
        <v>0</v>
      </c>
      <c r="H3084" s="10"/>
      <c r="I3084" s="10">
        <v>0</v>
      </c>
    </row>
    <row r="3085" spans="1:9" ht="21.75" customHeight="1">
      <c r="A3085" s="8" t="s">
        <v>19</v>
      </c>
      <c r="B3085" s="8" t="s">
        <v>17</v>
      </c>
      <c r="C3085" s="9" t="str">
        <f t="shared" si="69"/>
        <v>230121</v>
      </c>
      <c r="D3085" s="9" t="str">
        <f>"230904627"</f>
        <v>230904627</v>
      </c>
      <c r="E3085" s="10">
        <v>0</v>
      </c>
      <c r="F3085" s="10"/>
      <c r="G3085" s="10">
        <v>0</v>
      </c>
      <c r="H3085" s="10"/>
      <c r="I3085" s="10">
        <v>0</v>
      </c>
    </row>
    <row r="3086" spans="1:9" ht="21.75" customHeight="1">
      <c r="A3086" s="8" t="s">
        <v>19</v>
      </c>
      <c r="B3086" s="8" t="s">
        <v>17</v>
      </c>
      <c r="C3086" s="9" t="str">
        <f t="shared" si="69"/>
        <v>230121</v>
      </c>
      <c r="D3086" s="9" t="str">
        <f>"230904704"</f>
        <v>230904704</v>
      </c>
      <c r="E3086" s="10">
        <v>0</v>
      </c>
      <c r="F3086" s="10"/>
      <c r="G3086" s="10">
        <v>0</v>
      </c>
      <c r="H3086" s="10"/>
      <c r="I3086" s="10">
        <v>0</v>
      </c>
    </row>
    <row r="3087" spans="1:9" ht="21.75" customHeight="1">
      <c r="A3087" s="8" t="s">
        <v>19</v>
      </c>
      <c r="B3087" s="8" t="s">
        <v>17</v>
      </c>
      <c r="C3087" s="9" t="str">
        <f t="shared" si="69"/>
        <v>230121</v>
      </c>
      <c r="D3087" s="9" t="str">
        <f>"230904706"</f>
        <v>230904706</v>
      </c>
      <c r="E3087" s="10">
        <v>0</v>
      </c>
      <c r="F3087" s="10"/>
      <c r="G3087" s="10">
        <v>0</v>
      </c>
      <c r="H3087" s="10"/>
      <c r="I3087" s="10">
        <v>0</v>
      </c>
    </row>
    <row r="3088" spans="1:9" ht="21.75" customHeight="1">
      <c r="A3088" s="8" t="s">
        <v>19</v>
      </c>
      <c r="B3088" s="8" t="s">
        <v>17</v>
      </c>
      <c r="C3088" s="9" t="str">
        <f t="shared" si="69"/>
        <v>230121</v>
      </c>
      <c r="D3088" s="9" t="str">
        <f>"230904707"</f>
        <v>230904707</v>
      </c>
      <c r="E3088" s="10">
        <v>0</v>
      </c>
      <c r="F3088" s="10"/>
      <c r="G3088" s="10">
        <v>0</v>
      </c>
      <c r="H3088" s="10"/>
      <c r="I3088" s="10">
        <v>0</v>
      </c>
    </row>
    <row r="3089" spans="1:9" ht="21.75" customHeight="1">
      <c r="A3089" s="8" t="s">
        <v>19</v>
      </c>
      <c r="B3089" s="8" t="s">
        <v>17</v>
      </c>
      <c r="C3089" s="9" t="str">
        <f t="shared" si="69"/>
        <v>230121</v>
      </c>
      <c r="D3089" s="9" t="str">
        <f>"230904708"</f>
        <v>230904708</v>
      </c>
      <c r="E3089" s="10">
        <v>0</v>
      </c>
      <c r="F3089" s="10"/>
      <c r="G3089" s="10">
        <v>0</v>
      </c>
      <c r="H3089" s="10"/>
      <c r="I3089" s="10">
        <v>0</v>
      </c>
    </row>
    <row r="3090" spans="1:9" ht="21.75" customHeight="1">
      <c r="A3090" s="8" t="s">
        <v>19</v>
      </c>
      <c r="B3090" s="8" t="s">
        <v>17</v>
      </c>
      <c r="C3090" s="9" t="str">
        <f t="shared" si="69"/>
        <v>230121</v>
      </c>
      <c r="D3090" s="9" t="str">
        <f>"230904714"</f>
        <v>230904714</v>
      </c>
      <c r="E3090" s="10">
        <v>0</v>
      </c>
      <c r="F3090" s="10"/>
      <c r="G3090" s="10">
        <v>0</v>
      </c>
      <c r="H3090" s="10"/>
      <c r="I3090" s="10">
        <v>0</v>
      </c>
    </row>
    <row r="3091" spans="1:9" ht="21.75" customHeight="1">
      <c r="A3091" s="8" t="s">
        <v>19</v>
      </c>
      <c r="B3091" s="8" t="s">
        <v>17</v>
      </c>
      <c r="C3091" s="9" t="str">
        <f t="shared" si="69"/>
        <v>230121</v>
      </c>
      <c r="D3091" s="9" t="str">
        <f>"230904715"</f>
        <v>230904715</v>
      </c>
      <c r="E3091" s="10">
        <v>0</v>
      </c>
      <c r="F3091" s="10"/>
      <c r="G3091" s="10">
        <v>0</v>
      </c>
      <c r="H3091" s="10"/>
      <c r="I3091" s="10">
        <v>0</v>
      </c>
    </row>
    <row r="3092" spans="1:9" ht="21.75" customHeight="1">
      <c r="A3092" s="8" t="s">
        <v>19</v>
      </c>
      <c r="B3092" s="8" t="s">
        <v>17</v>
      </c>
      <c r="C3092" s="9" t="str">
        <f t="shared" si="69"/>
        <v>230121</v>
      </c>
      <c r="D3092" s="9" t="str">
        <f>"230904723"</f>
        <v>230904723</v>
      </c>
      <c r="E3092" s="10">
        <v>0</v>
      </c>
      <c r="F3092" s="10"/>
      <c r="G3092" s="10">
        <v>0</v>
      </c>
      <c r="H3092" s="10"/>
      <c r="I3092" s="10">
        <v>0</v>
      </c>
    </row>
    <row r="3093" spans="1:9" s="1" customFormat="1" ht="21.75" customHeight="1">
      <c r="A3093" s="8" t="s">
        <v>19</v>
      </c>
      <c r="B3093" s="8" t="s">
        <v>17</v>
      </c>
      <c r="C3093" s="9" t="str">
        <f t="shared" si="69"/>
        <v>230121</v>
      </c>
      <c r="D3093" s="9" t="str">
        <f>"230904726"</f>
        <v>230904726</v>
      </c>
      <c r="E3093" s="10">
        <v>0</v>
      </c>
      <c r="F3093" s="10"/>
      <c r="G3093" s="10">
        <v>0</v>
      </c>
      <c r="H3093" s="10"/>
      <c r="I3093" s="10">
        <v>0</v>
      </c>
    </row>
    <row r="3094" spans="1:9" s="1" customFormat="1" ht="21.75" customHeight="1">
      <c r="A3094" s="8" t="s">
        <v>19</v>
      </c>
      <c r="B3094" s="8" t="s">
        <v>17</v>
      </c>
      <c r="C3094" s="9" t="str">
        <f t="shared" si="69"/>
        <v>230121</v>
      </c>
      <c r="D3094" s="9" t="str">
        <f>"230904810"</f>
        <v>230904810</v>
      </c>
      <c r="E3094" s="10">
        <v>0</v>
      </c>
      <c r="F3094" s="10"/>
      <c r="G3094" s="10">
        <v>0</v>
      </c>
      <c r="H3094" s="10"/>
      <c r="I3094" s="10">
        <v>0</v>
      </c>
    </row>
    <row r="3095" spans="1:9" s="1" customFormat="1" ht="21.75" customHeight="1">
      <c r="A3095" s="8" t="s">
        <v>19</v>
      </c>
      <c r="B3095" s="8" t="s">
        <v>17</v>
      </c>
      <c r="C3095" s="9" t="str">
        <f t="shared" si="69"/>
        <v>230121</v>
      </c>
      <c r="D3095" s="9" t="str">
        <f>"230904812"</f>
        <v>230904812</v>
      </c>
      <c r="E3095" s="10">
        <v>0</v>
      </c>
      <c r="F3095" s="10"/>
      <c r="G3095" s="10">
        <v>0</v>
      </c>
      <c r="H3095" s="10"/>
      <c r="I3095" s="10">
        <v>0</v>
      </c>
    </row>
    <row r="3096" spans="1:9" ht="21.75" customHeight="1">
      <c r="A3096" s="8" t="s">
        <v>19</v>
      </c>
      <c r="B3096" s="8" t="s">
        <v>17</v>
      </c>
      <c r="C3096" s="9" t="str">
        <f t="shared" si="69"/>
        <v>230121</v>
      </c>
      <c r="D3096" s="9" t="str">
        <f>"230904815"</f>
        <v>230904815</v>
      </c>
      <c r="E3096" s="10">
        <v>0</v>
      </c>
      <c r="F3096" s="10"/>
      <c r="G3096" s="10">
        <v>0</v>
      </c>
      <c r="H3096" s="10"/>
      <c r="I3096" s="10">
        <v>0</v>
      </c>
    </row>
    <row r="3097" spans="1:9" ht="21.75" customHeight="1">
      <c r="A3097" s="8" t="s">
        <v>19</v>
      </c>
      <c r="B3097" s="8" t="s">
        <v>17</v>
      </c>
      <c r="C3097" s="9" t="str">
        <f t="shared" si="69"/>
        <v>230121</v>
      </c>
      <c r="D3097" s="9" t="str">
        <f>"230904822"</f>
        <v>230904822</v>
      </c>
      <c r="E3097" s="10">
        <v>0</v>
      </c>
      <c r="F3097" s="10"/>
      <c r="G3097" s="10">
        <v>0</v>
      </c>
      <c r="H3097" s="10"/>
      <c r="I3097" s="10">
        <v>0</v>
      </c>
    </row>
    <row r="3098" spans="1:9" ht="21.75" customHeight="1">
      <c r="A3098" s="8" t="s">
        <v>19</v>
      </c>
      <c r="B3098" s="8" t="s">
        <v>17</v>
      </c>
      <c r="C3098" s="9" t="str">
        <f t="shared" si="69"/>
        <v>230121</v>
      </c>
      <c r="D3098" s="9" t="str">
        <f>"230904825"</f>
        <v>230904825</v>
      </c>
      <c r="E3098" s="10">
        <v>0</v>
      </c>
      <c r="F3098" s="10"/>
      <c r="G3098" s="10">
        <v>0</v>
      </c>
      <c r="H3098" s="10"/>
      <c r="I3098" s="10">
        <v>0</v>
      </c>
    </row>
    <row r="3099" spans="1:9" s="1" customFormat="1" ht="21.75" customHeight="1">
      <c r="A3099" s="8" t="s">
        <v>19</v>
      </c>
      <c r="B3099" s="8" t="s">
        <v>17</v>
      </c>
      <c r="C3099" s="9" t="str">
        <f t="shared" ref="C3099:C3118" si="70">"230121"</f>
        <v>230121</v>
      </c>
      <c r="D3099" s="9" t="str">
        <f>"230904911"</f>
        <v>230904911</v>
      </c>
      <c r="E3099" s="10">
        <v>0</v>
      </c>
      <c r="F3099" s="10"/>
      <c r="G3099" s="10">
        <v>0</v>
      </c>
      <c r="H3099" s="10"/>
      <c r="I3099" s="10">
        <v>0</v>
      </c>
    </row>
    <row r="3100" spans="1:9" ht="21.75" customHeight="1">
      <c r="A3100" s="8" t="s">
        <v>19</v>
      </c>
      <c r="B3100" s="8" t="s">
        <v>17</v>
      </c>
      <c r="C3100" s="9" t="str">
        <f t="shared" si="70"/>
        <v>230121</v>
      </c>
      <c r="D3100" s="9" t="str">
        <f>"230904913"</f>
        <v>230904913</v>
      </c>
      <c r="E3100" s="10">
        <v>0</v>
      </c>
      <c r="F3100" s="10"/>
      <c r="G3100" s="10">
        <v>0</v>
      </c>
      <c r="H3100" s="10"/>
      <c r="I3100" s="10">
        <v>0</v>
      </c>
    </row>
    <row r="3101" spans="1:9" s="1" customFormat="1" ht="21.75" customHeight="1">
      <c r="A3101" s="8" t="s">
        <v>19</v>
      </c>
      <c r="B3101" s="8" t="s">
        <v>17</v>
      </c>
      <c r="C3101" s="9" t="str">
        <f t="shared" si="70"/>
        <v>230121</v>
      </c>
      <c r="D3101" s="9" t="str">
        <f>"230904916"</f>
        <v>230904916</v>
      </c>
      <c r="E3101" s="10">
        <v>0</v>
      </c>
      <c r="F3101" s="10"/>
      <c r="G3101" s="10">
        <v>0</v>
      </c>
      <c r="H3101" s="10"/>
      <c r="I3101" s="10">
        <v>0</v>
      </c>
    </row>
    <row r="3102" spans="1:9" ht="21.75" customHeight="1">
      <c r="A3102" s="8" t="s">
        <v>19</v>
      </c>
      <c r="B3102" s="8" t="s">
        <v>17</v>
      </c>
      <c r="C3102" s="9" t="str">
        <f t="shared" si="70"/>
        <v>230121</v>
      </c>
      <c r="D3102" s="9" t="str">
        <f>"230904919"</f>
        <v>230904919</v>
      </c>
      <c r="E3102" s="10">
        <v>0</v>
      </c>
      <c r="F3102" s="10"/>
      <c r="G3102" s="10">
        <v>0</v>
      </c>
      <c r="H3102" s="10"/>
      <c r="I3102" s="10">
        <v>0</v>
      </c>
    </row>
    <row r="3103" spans="1:9" ht="21.75" customHeight="1">
      <c r="A3103" s="8" t="s">
        <v>19</v>
      </c>
      <c r="B3103" s="8" t="s">
        <v>17</v>
      </c>
      <c r="C3103" s="9" t="str">
        <f t="shared" si="70"/>
        <v>230121</v>
      </c>
      <c r="D3103" s="9" t="str">
        <f>"230904920"</f>
        <v>230904920</v>
      </c>
      <c r="E3103" s="10">
        <v>0</v>
      </c>
      <c r="F3103" s="10"/>
      <c r="G3103" s="10">
        <v>0</v>
      </c>
      <c r="H3103" s="10"/>
      <c r="I3103" s="10">
        <v>0</v>
      </c>
    </row>
    <row r="3104" spans="1:9" ht="21.75" customHeight="1">
      <c r="A3104" s="8" t="s">
        <v>19</v>
      </c>
      <c r="B3104" s="8" t="s">
        <v>17</v>
      </c>
      <c r="C3104" s="9" t="str">
        <f t="shared" si="70"/>
        <v>230121</v>
      </c>
      <c r="D3104" s="9" t="str">
        <f>"230904922"</f>
        <v>230904922</v>
      </c>
      <c r="E3104" s="10">
        <v>0</v>
      </c>
      <c r="F3104" s="10"/>
      <c r="G3104" s="10">
        <v>0</v>
      </c>
      <c r="H3104" s="10"/>
      <c r="I3104" s="10">
        <v>0</v>
      </c>
    </row>
    <row r="3105" spans="1:9" ht="21.75" customHeight="1">
      <c r="A3105" s="8" t="s">
        <v>19</v>
      </c>
      <c r="B3105" s="8" t="s">
        <v>17</v>
      </c>
      <c r="C3105" s="9" t="str">
        <f t="shared" si="70"/>
        <v>230121</v>
      </c>
      <c r="D3105" s="9" t="str">
        <f>"230904923"</f>
        <v>230904923</v>
      </c>
      <c r="E3105" s="10">
        <v>0</v>
      </c>
      <c r="F3105" s="10"/>
      <c r="G3105" s="10">
        <v>0</v>
      </c>
      <c r="H3105" s="10"/>
      <c r="I3105" s="10">
        <v>0</v>
      </c>
    </row>
    <row r="3106" spans="1:9" s="1" customFormat="1" ht="21.75" customHeight="1">
      <c r="A3106" s="8" t="s">
        <v>19</v>
      </c>
      <c r="B3106" s="8" t="s">
        <v>17</v>
      </c>
      <c r="C3106" s="9" t="str">
        <f t="shared" si="70"/>
        <v>230121</v>
      </c>
      <c r="D3106" s="9" t="str">
        <f>"230904928"</f>
        <v>230904928</v>
      </c>
      <c r="E3106" s="10">
        <v>0</v>
      </c>
      <c r="F3106" s="10"/>
      <c r="G3106" s="10">
        <v>0</v>
      </c>
      <c r="H3106" s="10"/>
      <c r="I3106" s="10">
        <v>0</v>
      </c>
    </row>
    <row r="3107" spans="1:9" ht="21.75" customHeight="1">
      <c r="A3107" s="8" t="s">
        <v>19</v>
      </c>
      <c r="B3107" s="8" t="s">
        <v>17</v>
      </c>
      <c r="C3107" s="9" t="str">
        <f t="shared" si="70"/>
        <v>230121</v>
      </c>
      <c r="D3107" s="9" t="str">
        <f>"230905001"</f>
        <v>230905001</v>
      </c>
      <c r="E3107" s="10">
        <v>0</v>
      </c>
      <c r="F3107" s="10"/>
      <c r="G3107" s="10">
        <v>0</v>
      </c>
      <c r="H3107" s="10"/>
      <c r="I3107" s="10">
        <v>0</v>
      </c>
    </row>
    <row r="3108" spans="1:9" s="1" customFormat="1" ht="21.75" customHeight="1">
      <c r="A3108" s="8" t="s">
        <v>19</v>
      </c>
      <c r="B3108" s="8" t="s">
        <v>17</v>
      </c>
      <c r="C3108" s="9" t="str">
        <f t="shared" si="70"/>
        <v>230121</v>
      </c>
      <c r="D3108" s="9" t="str">
        <f>"230905002"</f>
        <v>230905002</v>
      </c>
      <c r="E3108" s="10">
        <v>0</v>
      </c>
      <c r="F3108" s="10"/>
      <c r="G3108" s="10">
        <v>0</v>
      </c>
      <c r="H3108" s="10"/>
      <c r="I3108" s="10">
        <v>0</v>
      </c>
    </row>
    <row r="3109" spans="1:9" s="1" customFormat="1" ht="21.75" customHeight="1">
      <c r="A3109" s="8" t="s">
        <v>19</v>
      </c>
      <c r="B3109" s="8" t="s">
        <v>17</v>
      </c>
      <c r="C3109" s="9" t="str">
        <f t="shared" si="70"/>
        <v>230121</v>
      </c>
      <c r="D3109" s="9" t="str">
        <f>"230905003"</f>
        <v>230905003</v>
      </c>
      <c r="E3109" s="10">
        <v>0</v>
      </c>
      <c r="F3109" s="10"/>
      <c r="G3109" s="10">
        <v>0</v>
      </c>
      <c r="H3109" s="10"/>
      <c r="I3109" s="10">
        <v>0</v>
      </c>
    </row>
    <row r="3110" spans="1:9" s="1" customFormat="1" ht="21.75" customHeight="1">
      <c r="A3110" s="8" t="s">
        <v>19</v>
      </c>
      <c r="B3110" s="8" t="s">
        <v>17</v>
      </c>
      <c r="C3110" s="9" t="str">
        <f t="shared" si="70"/>
        <v>230121</v>
      </c>
      <c r="D3110" s="9" t="str">
        <f>"230905005"</f>
        <v>230905005</v>
      </c>
      <c r="E3110" s="10">
        <v>0</v>
      </c>
      <c r="F3110" s="10"/>
      <c r="G3110" s="10">
        <v>0</v>
      </c>
      <c r="H3110" s="10"/>
      <c r="I3110" s="10">
        <v>0</v>
      </c>
    </row>
    <row r="3111" spans="1:9" ht="21.75" customHeight="1">
      <c r="A3111" s="8" t="s">
        <v>19</v>
      </c>
      <c r="B3111" s="8" t="s">
        <v>17</v>
      </c>
      <c r="C3111" s="9" t="str">
        <f t="shared" si="70"/>
        <v>230121</v>
      </c>
      <c r="D3111" s="9" t="str">
        <f>"230905006"</f>
        <v>230905006</v>
      </c>
      <c r="E3111" s="10">
        <v>0</v>
      </c>
      <c r="F3111" s="10"/>
      <c r="G3111" s="10">
        <v>0</v>
      </c>
      <c r="H3111" s="10"/>
      <c r="I3111" s="10">
        <v>0</v>
      </c>
    </row>
    <row r="3112" spans="1:9" ht="21.75" customHeight="1">
      <c r="A3112" s="8" t="s">
        <v>19</v>
      </c>
      <c r="B3112" s="8" t="s">
        <v>17</v>
      </c>
      <c r="C3112" s="9" t="str">
        <f t="shared" si="70"/>
        <v>230121</v>
      </c>
      <c r="D3112" s="9" t="str">
        <f>"230905008"</f>
        <v>230905008</v>
      </c>
      <c r="E3112" s="10">
        <v>0</v>
      </c>
      <c r="F3112" s="10"/>
      <c r="G3112" s="10">
        <v>0</v>
      </c>
      <c r="H3112" s="10"/>
      <c r="I3112" s="10">
        <v>0</v>
      </c>
    </row>
    <row r="3113" spans="1:9" s="1" customFormat="1" ht="21.75" customHeight="1">
      <c r="A3113" s="8" t="s">
        <v>19</v>
      </c>
      <c r="B3113" s="8" t="s">
        <v>17</v>
      </c>
      <c r="C3113" s="9" t="str">
        <f t="shared" si="70"/>
        <v>230121</v>
      </c>
      <c r="D3113" s="9" t="str">
        <f>"230905009"</f>
        <v>230905009</v>
      </c>
      <c r="E3113" s="10">
        <v>0</v>
      </c>
      <c r="F3113" s="10"/>
      <c r="G3113" s="10">
        <v>0</v>
      </c>
      <c r="H3113" s="10"/>
      <c r="I3113" s="10">
        <v>0</v>
      </c>
    </row>
    <row r="3114" spans="1:9" ht="21.75" customHeight="1">
      <c r="A3114" s="8" t="s">
        <v>19</v>
      </c>
      <c r="B3114" s="8" t="s">
        <v>17</v>
      </c>
      <c r="C3114" s="9" t="str">
        <f t="shared" si="70"/>
        <v>230121</v>
      </c>
      <c r="D3114" s="9" t="str">
        <f>"230905011"</f>
        <v>230905011</v>
      </c>
      <c r="E3114" s="10">
        <v>0</v>
      </c>
      <c r="F3114" s="10"/>
      <c r="G3114" s="10">
        <v>0</v>
      </c>
      <c r="H3114" s="10"/>
      <c r="I3114" s="10">
        <v>0</v>
      </c>
    </row>
    <row r="3115" spans="1:9" ht="21.75" customHeight="1">
      <c r="A3115" s="8" t="s">
        <v>19</v>
      </c>
      <c r="B3115" s="8" t="s">
        <v>17</v>
      </c>
      <c r="C3115" s="9" t="str">
        <f t="shared" si="70"/>
        <v>230121</v>
      </c>
      <c r="D3115" s="9" t="str">
        <f>"230905014"</f>
        <v>230905014</v>
      </c>
      <c r="E3115" s="10">
        <v>0</v>
      </c>
      <c r="F3115" s="10"/>
      <c r="G3115" s="10">
        <v>0</v>
      </c>
      <c r="H3115" s="10"/>
      <c r="I3115" s="10">
        <v>0</v>
      </c>
    </row>
    <row r="3116" spans="1:9" ht="21.75" customHeight="1">
      <c r="A3116" s="8" t="s">
        <v>19</v>
      </c>
      <c r="B3116" s="8" t="s">
        <v>17</v>
      </c>
      <c r="C3116" s="9" t="str">
        <f t="shared" si="70"/>
        <v>230121</v>
      </c>
      <c r="D3116" s="9" t="str">
        <f>"230905015"</f>
        <v>230905015</v>
      </c>
      <c r="E3116" s="10">
        <v>0</v>
      </c>
      <c r="F3116" s="10"/>
      <c r="G3116" s="10">
        <v>0</v>
      </c>
      <c r="H3116" s="10"/>
      <c r="I3116" s="10">
        <v>0</v>
      </c>
    </row>
    <row r="3117" spans="1:9" ht="21.75" customHeight="1">
      <c r="A3117" s="8" t="s">
        <v>19</v>
      </c>
      <c r="B3117" s="8" t="s">
        <v>17</v>
      </c>
      <c r="C3117" s="9" t="str">
        <f t="shared" si="70"/>
        <v>230121</v>
      </c>
      <c r="D3117" s="9" t="str">
        <f>"230905016"</f>
        <v>230905016</v>
      </c>
      <c r="E3117" s="10">
        <v>0</v>
      </c>
      <c r="F3117" s="10"/>
      <c r="G3117" s="10">
        <v>0</v>
      </c>
      <c r="H3117" s="10"/>
      <c r="I3117" s="10">
        <v>0</v>
      </c>
    </row>
    <row r="3118" spans="1:9" s="1" customFormat="1" ht="21.75" customHeight="1">
      <c r="A3118" s="8" t="s">
        <v>19</v>
      </c>
      <c r="B3118" s="8" t="s">
        <v>17</v>
      </c>
      <c r="C3118" s="9" t="str">
        <f t="shared" si="70"/>
        <v>230121</v>
      </c>
      <c r="D3118" s="9" t="str">
        <f>"230905019"</f>
        <v>230905019</v>
      </c>
      <c r="E3118" s="10">
        <v>0</v>
      </c>
      <c r="F3118" s="10"/>
      <c r="G3118" s="10">
        <v>0</v>
      </c>
      <c r="H3118" s="10"/>
      <c r="I3118" s="10">
        <v>0</v>
      </c>
    </row>
    <row r="3119" spans="1:9" s="2" customFormat="1" ht="21.75" customHeight="1">
      <c r="A3119" s="8" t="s">
        <v>19</v>
      </c>
      <c r="B3119" s="8" t="s">
        <v>18</v>
      </c>
      <c r="C3119" s="9" t="str">
        <f t="shared" ref="C3119:C3150" si="71">"230122"</f>
        <v>230122</v>
      </c>
      <c r="D3119" s="9" t="str">
        <f>"230905307"</f>
        <v>230905307</v>
      </c>
      <c r="E3119" s="10">
        <v>79.98</v>
      </c>
      <c r="F3119" s="10"/>
      <c r="G3119" s="10">
        <v>83</v>
      </c>
      <c r="H3119" s="10"/>
      <c r="I3119" s="10">
        <v>81.790000000000006</v>
      </c>
    </row>
    <row r="3120" spans="1:9" s="2" customFormat="1" ht="21.75" customHeight="1">
      <c r="A3120" s="8" t="s">
        <v>19</v>
      </c>
      <c r="B3120" s="8" t="s">
        <v>18</v>
      </c>
      <c r="C3120" s="9" t="str">
        <f t="shared" si="71"/>
        <v>230122</v>
      </c>
      <c r="D3120" s="9" t="str">
        <f>"230905220"</f>
        <v>230905220</v>
      </c>
      <c r="E3120" s="10">
        <v>80.099999999999994</v>
      </c>
      <c r="F3120" s="10"/>
      <c r="G3120" s="10">
        <v>76</v>
      </c>
      <c r="H3120" s="10"/>
      <c r="I3120" s="10">
        <v>77.64</v>
      </c>
    </row>
    <row r="3121" spans="1:9" s="3" customFormat="1" ht="21.75" customHeight="1">
      <c r="A3121" s="8" t="s">
        <v>19</v>
      </c>
      <c r="B3121" s="8" t="s">
        <v>18</v>
      </c>
      <c r="C3121" s="9" t="str">
        <f t="shared" si="71"/>
        <v>230122</v>
      </c>
      <c r="D3121" s="9" t="str">
        <f>"230905226"</f>
        <v>230905226</v>
      </c>
      <c r="E3121" s="10">
        <v>74.569999999999993</v>
      </c>
      <c r="F3121" s="10"/>
      <c r="G3121" s="10">
        <v>79.5</v>
      </c>
      <c r="H3121" s="10"/>
      <c r="I3121" s="10">
        <v>77.53</v>
      </c>
    </row>
    <row r="3122" spans="1:9" s="3" customFormat="1" ht="21.75" customHeight="1">
      <c r="A3122" s="8" t="s">
        <v>19</v>
      </c>
      <c r="B3122" s="8" t="s">
        <v>18</v>
      </c>
      <c r="C3122" s="9" t="str">
        <f t="shared" si="71"/>
        <v>230122</v>
      </c>
      <c r="D3122" s="9" t="str">
        <f>"230905222"</f>
        <v>230905222</v>
      </c>
      <c r="E3122" s="10">
        <v>80.44</v>
      </c>
      <c r="F3122" s="10"/>
      <c r="G3122" s="10">
        <v>75.5</v>
      </c>
      <c r="H3122" s="10"/>
      <c r="I3122" s="10">
        <v>77.48</v>
      </c>
    </row>
    <row r="3123" spans="1:9" s="2" customFormat="1" ht="21.75" customHeight="1">
      <c r="A3123" s="8" t="s">
        <v>19</v>
      </c>
      <c r="B3123" s="8" t="s">
        <v>18</v>
      </c>
      <c r="C3123" s="9" t="str">
        <f t="shared" si="71"/>
        <v>230122</v>
      </c>
      <c r="D3123" s="9" t="str">
        <f>"230905305"</f>
        <v>230905305</v>
      </c>
      <c r="E3123" s="10">
        <v>75.28</v>
      </c>
      <c r="F3123" s="10"/>
      <c r="G3123" s="10">
        <v>78</v>
      </c>
      <c r="H3123" s="10"/>
      <c r="I3123" s="10">
        <v>76.91</v>
      </c>
    </row>
    <row r="3124" spans="1:9" s="3" customFormat="1" ht="21.75" customHeight="1">
      <c r="A3124" s="8" t="s">
        <v>19</v>
      </c>
      <c r="B3124" s="8" t="s">
        <v>18</v>
      </c>
      <c r="C3124" s="9" t="str">
        <f t="shared" si="71"/>
        <v>230122</v>
      </c>
      <c r="D3124" s="9" t="str">
        <f>"230905306"</f>
        <v>230905306</v>
      </c>
      <c r="E3124" s="10">
        <v>77.319999999999993</v>
      </c>
      <c r="F3124" s="10"/>
      <c r="G3124" s="10">
        <v>76</v>
      </c>
      <c r="H3124" s="10"/>
      <c r="I3124" s="10">
        <v>76.53</v>
      </c>
    </row>
    <row r="3125" spans="1:9" s="2" customFormat="1" ht="21.75" customHeight="1">
      <c r="A3125" s="8" t="s">
        <v>19</v>
      </c>
      <c r="B3125" s="8" t="s">
        <v>18</v>
      </c>
      <c r="C3125" s="9" t="str">
        <f t="shared" si="71"/>
        <v>230122</v>
      </c>
      <c r="D3125" s="9" t="str">
        <f>"230905120"</f>
        <v>230905120</v>
      </c>
      <c r="E3125" s="10">
        <v>79.180000000000007</v>
      </c>
      <c r="F3125" s="10"/>
      <c r="G3125" s="10">
        <v>74.5</v>
      </c>
      <c r="H3125" s="10"/>
      <c r="I3125" s="10">
        <v>76.37</v>
      </c>
    </row>
    <row r="3126" spans="1:9" s="3" customFormat="1" ht="21.75" customHeight="1">
      <c r="A3126" s="8" t="s">
        <v>19</v>
      </c>
      <c r="B3126" s="8" t="s">
        <v>18</v>
      </c>
      <c r="C3126" s="9" t="str">
        <f t="shared" si="71"/>
        <v>230122</v>
      </c>
      <c r="D3126" s="9" t="str">
        <f>"230905219"</f>
        <v>230905219</v>
      </c>
      <c r="E3126" s="10">
        <v>72.86</v>
      </c>
      <c r="F3126" s="10"/>
      <c r="G3126" s="10">
        <v>78.5</v>
      </c>
      <c r="H3126" s="10"/>
      <c r="I3126" s="10">
        <v>76.239999999999995</v>
      </c>
    </row>
    <row r="3127" spans="1:9" s="2" customFormat="1" ht="21.75" customHeight="1">
      <c r="A3127" s="8" t="s">
        <v>19</v>
      </c>
      <c r="B3127" s="8" t="s">
        <v>18</v>
      </c>
      <c r="C3127" s="9" t="str">
        <f t="shared" si="71"/>
        <v>230122</v>
      </c>
      <c r="D3127" s="9" t="str">
        <f>"230905121"</f>
        <v>230905121</v>
      </c>
      <c r="E3127" s="10">
        <v>78.040000000000006</v>
      </c>
      <c r="F3127" s="10"/>
      <c r="G3127" s="10">
        <v>73.5</v>
      </c>
      <c r="H3127" s="10"/>
      <c r="I3127" s="10">
        <v>75.319999999999993</v>
      </c>
    </row>
    <row r="3128" spans="1:9" s="2" customFormat="1" ht="21.75" customHeight="1">
      <c r="A3128" s="8" t="s">
        <v>19</v>
      </c>
      <c r="B3128" s="8" t="s">
        <v>18</v>
      </c>
      <c r="C3128" s="9" t="str">
        <f t="shared" si="71"/>
        <v>230122</v>
      </c>
      <c r="D3128" s="9" t="str">
        <f>"230905026"</f>
        <v>230905026</v>
      </c>
      <c r="E3128" s="10">
        <v>74.7</v>
      </c>
      <c r="F3128" s="10"/>
      <c r="G3128" s="10">
        <v>75.5</v>
      </c>
      <c r="H3128" s="10"/>
      <c r="I3128" s="10">
        <v>75.180000000000007</v>
      </c>
    </row>
    <row r="3129" spans="1:9" s="2" customFormat="1" ht="21.75" customHeight="1">
      <c r="A3129" s="8" t="s">
        <v>19</v>
      </c>
      <c r="B3129" s="8" t="s">
        <v>18</v>
      </c>
      <c r="C3129" s="9" t="str">
        <f t="shared" si="71"/>
        <v>230122</v>
      </c>
      <c r="D3129" s="9" t="str">
        <f>"230905314"</f>
        <v>230905314</v>
      </c>
      <c r="E3129" s="10">
        <v>71.459999999999994</v>
      </c>
      <c r="F3129" s="10"/>
      <c r="G3129" s="10">
        <v>77.5</v>
      </c>
      <c r="H3129" s="10"/>
      <c r="I3129" s="10">
        <v>75.08</v>
      </c>
    </row>
    <row r="3130" spans="1:9" s="2" customFormat="1" ht="21.75" customHeight="1">
      <c r="A3130" s="8" t="s">
        <v>19</v>
      </c>
      <c r="B3130" s="8" t="s">
        <v>18</v>
      </c>
      <c r="C3130" s="9" t="str">
        <f t="shared" si="71"/>
        <v>230122</v>
      </c>
      <c r="D3130" s="9" t="str">
        <f>"230905303"</f>
        <v>230905303</v>
      </c>
      <c r="E3130" s="10">
        <v>81.03</v>
      </c>
      <c r="F3130" s="10"/>
      <c r="G3130" s="10">
        <v>70.5</v>
      </c>
      <c r="H3130" s="10"/>
      <c r="I3130" s="10">
        <v>74.709999999999994</v>
      </c>
    </row>
    <row r="3131" spans="1:9" s="2" customFormat="1" ht="21.75" customHeight="1">
      <c r="A3131" s="8" t="s">
        <v>19</v>
      </c>
      <c r="B3131" s="8" t="s">
        <v>18</v>
      </c>
      <c r="C3131" s="9" t="str">
        <f t="shared" si="71"/>
        <v>230122</v>
      </c>
      <c r="D3131" s="9" t="str">
        <f>"230905213"</f>
        <v>230905213</v>
      </c>
      <c r="E3131" s="10">
        <v>74.8</v>
      </c>
      <c r="F3131" s="10"/>
      <c r="G3131" s="10">
        <v>74.5</v>
      </c>
      <c r="H3131" s="10"/>
      <c r="I3131" s="10">
        <v>74.62</v>
      </c>
    </row>
    <row r="3132" spans="1:9" s="2" customFormat="1" ht="21.75" customHeight="1">
      <c r="A3132" s="8" t="s">
        <v>19</v>
      </c>
      <c r="B3132" s="8" t="s">
        <v>18</v>
      </c>
      <c r="C3132" s="9" t="str">
        <f t="shared" si="71"/>
        <v>230122</v>
      </c>
      <c r="D3132" s="9" t="str">
        <f>"230905110"</f>
        <v>230905110</v>
      </c>
      <c r="E3132" s="10">
        <v>75.14</v>
      </c>
      <c r="F3132" s="10"/>
      <c r="G3132" s="10">
        <v>73.5</v>
      </c>
      <c r="H3132" s="10"/>
      <c r="I3132" s="10">
        <v>74.16</v>
      </c>
    </row>
    <row r="3133" spans="1:9" s="2" customFormat="1" ht="21.75" customHeight="1">
      <c r="A3133" s="8" t="s">
        <v>19</v>
      </c>
      <c r="B3133" s="8" t="s">
        <v>18</v>
      </c>
      <c r="C3133" s="9" t="str">
        <f t="shared" si="71"/>
        <v>230122</v>
      </c>
      <c r="D3133" s="9" t="str">
        <f>"230905308"</f>
        <v>230905308</v>
      </c>
      <c r="E3133" s="10">
        <v>69.739999999999995</v>
      </c>
      <c r="F3133" s="10"/>
      <c r="G3133" s="10">
        <v>77</v>
      </c>
      <c r="H3133" s="10"/>
      <c r="I3133" s="10">
        <v>74.099999999999994</v>
      </c>
    </row>
    <row r="3134" spans="1:9" s="2" customFormat="1" ht="21.75" customHeight="1">
      <c r="A3134" s="8" t="s">
        <v>19</v>
      </c>
      <c r="B3134" s="8" t="s">
        <v>18</v>
      </c>
      <c r="C3134" s="9" t="str">
        <f t="shared" si="71"/>
        <v>230122</v>
      </c>
      <c r="D3134" s="9" t="str">
        <f>"230905103"</f>
        <v>230905103</v>
      </c>
      <c r="E3134" s="10">
        <v>71.47</v>
      </c>
      <c r="F3134" s="10"/>
      <c r="G3134" s="10">
        <v>75.5</v>
      </c>
      <c r="H3134" s="10"/>
      <c r="I3134" s="10">
        <v>73.89</v>
      </c>
    </row>
    <row r="3135" spans="1:9" s="3" customFormat="1" ht="21.75" customHeight="1">
      <c r="A3135" s="8" t="s">
        <v>19</v>
      </c>
      <c r="B3135" s="8" t="s">
        <v>18</v>
      </c>
      <c r="C3135" s="9" t="str">
        <f t="shared" si="71"/>
        <v>230122</v>
      </c>
      <c r="D3135" s="9" t="str">
        <f>"230905311"</f>
        <v>230905311</v>
      </c>
      <c r="E3135" s="10">
        <v>74.59</v>
      </c>
      <c r="F3135" s="10"/>
      <c r="G3135" s="10">
        <v>73</v>
      </c>
      <c r="H3135" s="10"/>
      <c r="I3135" s="10">
        <v>73.64</v>
      </c>
    </row>
    <row r="3136" spans="1:9" s="2" customFormat="1" ht="21.75" customHeight="1">
      <c r="A3136" s="8" t="s">
        <v>19</v>
      </c>
      <c r="B3136" s="8" t="s">
        <v>18</v>
      </c>
      <c r="C3136" s="9" t="str">
        <f t="shared" si="71"/>
        <v>230122</v>
      </c>
      <c r="D3136" s="9" t="str">
        <f>"230905221"</f>
        <v>230905221</v>
      </c>
      <c r="E3136" s="10">
        <v>72.510000000000005</v>
      </c>
      <c r="F3136" s="10"/>
      <c r="G3136" s="10">
        <v>73.5</v>
      </c>
      <c r="H3136" s="10"/>
      <c r="I3136" s="10">
        <v>73.099999999999994</v>
      </c>
    </row>
    <row r="3137" spans="1:9" s="3" customFormat="1" ht="21.75" customHeight="1">
      <c r="A3137" s="8" t="s">
        <v>19</v>
      </c>
      <c r="B3137" s="8" t="s">
        <v>18</v>
      </c>
      <c r="C3137" s="9" t="str">
        <f t="shared" si="71"/>
        <v>230122</v>
      </c>
      <c r="D3137" s="9" t="str">
        <f>"230905302"</f>
        <v>230905302</v>
      </c>
      <c r="E3137" s="10">
        <v>73.08</v>
      </c>
      <c r="F3137" s="10"/>
      <c r="G3137" s="10">
        <v>72</v>
      </c>
      <c r="H3137" s="10"/>
      <c r="I3137" s="10">
        <v>72.430000000000007</v>
      </c>
    </row>
    <row r="3138" spans="1:9" s="2" customFormat="1" ht="21.75" customHeight="1">
      <c r="A3138" s="8" t="s">
        <v>19</v>
      </c>
      <c r="B3138" s="8" t="s">
        <v>18</v>
      </c>
      <c r="C3138" s="9" t="str">
        <f t="shared" si="71"/>
        <v>230122</v>
      </c>
      <c r="D3138" s="9" t="str">
        <f>"230905124"</f>
        <v>230905124</v>
      </c>
      <c r="E3138" s="10">
        <v>67.69</v>
      </c>
      <c r="F3138" s="10"/>
      <c r="G3138" s="10">
        <v>75.5</v>
      </c>
      <c r="H3138" s="10"/>
      <c r="I3138" s="10">
        <v>72.38</v>
      </c>
    </row>
    <row r="3139" spans="1:9" s="2" customFormat="1" ht="21.75" customHeight="1">
      <c r="A3139" s="8" t="s">
        <v>19</v>
      </c>
      <c r="B3139" s="8" t="s">
        <v>18</v>
      </c>
      <c r="C3139" s="9" t="str">
        <f t="shared" si="71"/>
        <v>230122</v>
      </c>
      <c r="D3139" s="9" t="str">
        <f>"230905214"</f>
        <v>230905214</v>
      </c>
      <c r="E3139" s="10">
        <v>67.56</v>
      </c>
      <c r="F3139" s="10"/>
      <c r="G3139" s="10">
        <v>75.5</v>
      </c>
      <c r="H3139" s="10"/>
      <c r="I3139" s="10">
        <v>72.319999999999993</v>
      </c>
    </row>
    <row r="3140" spans="1:9" s="2" customFormat="1" ht="21.75" customHeight="1">
      <c r="A3140" s="8" t="s">
        <v>19</v>
      </c>
      <c r="B3140" s="8" t="s">
        <v>18</v>
      </c>
      <c r="C3140" s="9" t="str">
        <f t="shared" si="71"/>
        <v>230122</v>
      </c>
      <c r="D3140" s="9" t="str">
        <f>"230905029"</f>
        <v>230905029</v>
      </c>
      <c r="E3140" s="10">
        <v>71.94</v>
      </c>
      <c r="F3140" s="10"/>
      <c r="G3140" s="10">
        <v>72.5</v>
      </c>
      <c r="H3140" s="10"/>
      <c r="I3140" s="10">
        <v>72.28</v>
      </c>
    </row>
    <row r="3141" spans="1:9" s="2" customFormat="1" ht="21.75" customHeight="1">
      <c r="A3141" s="8" t="s">
        <v>19</v>
      </c>
      <c r="B3141" s="8" t="s">
        <v>18</v>
      </c>
      <c r="C3141" s="9" t="str">
        <f t="shared" si="71"/>
        <v>230122</v>
      </c>
      <c r="D3141" s="9" t="str">
        <f>"230905028"</f>
        <v>230905028</v>
      </c>
      <c r="E3141" s="10">
        <v>66.98</v>
      </c>
      <c r="F3141" s="10"/>
      <c r="G3141" s="10">
        <v>75.5</v>
      </c>
      <c r="H3141" s="10"/>
      <c r="I3141" s="10">
        <v>72.09</v>
      </c>
    </row>
    <row r="3142" spans="1:9" s="2" customFormat="1" ht="21.75" customHeight="1">
      <c r="A3142" s="8" t="s">
        <v>19</v>
      </c>
      <c r="B3142" s="8" t="s">
        <v>18</v>
      </c>
      <c r="C3142" s="9" t="str">
        <f t="shared" si="71"/>
        <v>230122</v>
      </c>
      <c r="D3142" s="9" t="str">
        <f>"230905030"</f>
        <v>230905030</v>
      </c>
      <c r="E3142" s="10">
        <v>71.819999999999993</v>
      </c>
      <c r="F3142" s="10"/>
      <c r="G3142" s="10">
        <v>72</v>
      </c>
      <c r="H3142" s="10"/>
      <c r="I3142" s="10">
        <v>71.930000000000007</v>
      </c>
    </row>
    <row r="3143" spans="1:9" s="3" customFormat="1" ht="21.75" customHeight="1">
      <c r="A3143" s="8" t="s">
        <v>19</v>
      </c>
      <c r="B3143" s="8" t="s">
        <v>18</v>
      </c>
      <c r="C3143" s="9" t="str">
        <f t="shared" si="71"/>
        <v>230122</v>
      </c>
      <c r="D3143" s="9" t="str">
        <f>"230905228"</f>
        <v>230905228</v>
      </c>
      <c r="E3143" s="10">
        <v>76.77</v>
      </c>
      <c r="F3143" s="10"/>
      <c r="G3143" s="10">
        <v>68.5</v>
      </c>
      <c r="H3143" s="10"/>
      <c r="I3143" s="10">
        <v>71.81</v>
      </c>
    </row>
    <row r="3144" spans="1:9" s="2" customFormat="1" ht="21.75" customHeight="1">
      <c r="A3144" s="8" t="s">
        <v>19</v>
      </c>
      <c r="B3144" s="8" t="s">
        <v>18</v>
      </c>
      <c r="C3144" s="9" t="str">
        <f t="shared" si="71"/>
        <v>230122</v>
      </c>
      <c r="D3144" s="9" t="str">
        <f>"230905215"</f>
        <v>230905215</v>
      </c>
      <c r="E3144" s="10">
        <v>69.63</v>
      </c>
      <c r="F3144" s="10"/>
      <c r="G3144" s="10">
        <v>72.5</v>
      </c>
      <c r="H3144" s="10"/>
      <c r="I3144" s="10">
        <v>71.349999999999994</v>
      </c>
    </row>
    <row r="3145" spans="1:9" s="2" customFormat="1" ht="21.75" customHeight="1">
      <c r="A3145" s="8" t="s">
        <v>19</v>
      </c>
      <c r="B3145" s="8" t="s">
        <v>18</v>
      </c>
      <c r="C3145" s="9" t="str">
        <f t="shared" si="71"/>
        <v>230122</v>
      </c>
      <c r="D3145" s="9" t="str">
        <f>"230905309"</f>
        <v>230905309</v>
      </c>
      <c r="E3145" s="10">
        <v>60.55</v>
      </c>
      <c r="F3145" s="10"/>
      <c r="G3145" s="10">
        <v>78.5</v>
      </c>
      <c r="H3145" s="10"/>
      <c r="I3145" s="10">
        <v>71.319999999999993</v>
      </c>
    </row>
    <row r="3146" spans="1:9" s="3" customFormat="1" ht="21.75" customHeight="1">
      <c r="A3146" s="8" t="s">
        <v>19</v>
      </c>
      <c r="B3146" s="8" t="s">
        <v>18</v>
      </c>
      <c r="C3146" s="9" t="str">
        <f t="shared" si="71"/>
        <v>230122</v>
      </c>
      <c r="D3146" s="9" t="str">
        <f>"230905119"</f>
        <v>230905119</v>
      </c>
      <c r="E3146" s="10">
        <v>69.739999999999995</v>
      </c>
      <c r="F3146" s="10"/>
      <c r="G3146" s="10">
        <v>72</v>
      </c>
      <c r="H3146" s="10"/>
      <c r="I3146" s="10">
        <v>71.099999999999994</v>
      </c>
    </row>
    <row r="3147" spans="1:9" s="2" customFormat="1" ht="21.75" customHeight="1">
      <c r="A3147" s="8" t="s">
        <v>19</v>
      </c>
      <c r="B3147" s="8" t="s">
        <v>18</v>
      </c>
      <c r="C3147" s="9" t="str">
        <f t="shared" si="71"/>
        <v>230122</v>
      </c>
      <c r="D3147" s="9" t="str">
        <f>"230905216"</f>
        <v>230905216</v>
      </c>
      <c r="E3147" s="10">
        <v>66.63</v>
      </c>
      <c r="F3147" s="10"/>
      <c r="G3147" s="10">
        <v>74</v>
      </c>
      <c r="H3147" s="10"/>
      <c r="I3147" s="10">
        <v>71.05</v>
      </c>
    </row>
    <row r="3148" spans="1:9" s="3" customFormat="1" ht="21.75" customHeight="1">
      <c r="A3148" s="8" t="s">
        <v>19</v>
      </c>
      <c r="B3148" s="8" t="s">
        <v>18</v>
      </c>
      <c r="C3148" s="9" t="str">
        <f t="shared" si="71"/>
        <v>230122</v>
      </c>
      <c r="D3148" s="9" t="str">
        <f>"230905201"</f>
        <v>230905201</v>
      </c>
      <c r="E3148" s="10">
        <v>63.29</v>
      </c>
      <c r="F3148" s="10"/>
      <c r="G3148" s="10">
        <v>75.5</v>
      </c>
      <c r="H3148" s="10"/>
      <c r="I3148" s="10">
        <v>70.62</v>
      </c>
    </row>
    <row r="3149" spans="1:9" s="2" customFormat="1" ht="21.75" customHeight="1">
      <c r="A3149" s="8" t="s">
        <v>19</v>
      </c>
      <c r="B3149" s="8" t="s">
        <v>18</v>
      </c>
      <c r="C3149" s="9" t="str">
        <f t="shared" si="71"/>
        <v>230122</v>
      </c>
      <c r="D3149" s="9" t="str">
        <f>"230905315"</f>
        <v>230905315</v>
      </c>
      <c r="E3149" s="10">
        <v>71.239999999999995</v>
      </c>
      <c r="F3149" s="10"/>
      <c r="G3149" s="10">
        <v>70</v>
      </c>
      <c r="H3149" s="10"/>
      <c r="I3149" s="10">
        <v>70.5</v>
      </c>
    </row>
    <row r="3150" spans="1:9" s="2" customFormat="1" ht="21.75" customHeight="1">
      <c r="A3150" s="8" t="s">
        <v>19</v>
      </c>
      <c r="B3150" s="8" t="s">
        <v>18</v>
      </c>
      <c r="C3150" s="9" t="str">
        <f t="shared" si="71"/>
        <v>230122</v>
      </c>
      <c r="D3150" s="9" t="str">
        <f>"230905130"</f>
        <v>230905130</v>
      </c>
      <c r="E3150" s="10">
        <v>73.42</v>
      </c>
      <c r="F3150" s="10"/>
      <c r="G3150" s="10">
        <v>68.5</v>
      </c>
      <c r="H3150" s="10"/>
      <c r="I3150" s="10">
        <v>70.47</v>
      </c>
    </row>
    <row r="3151" spans="1:9" s="2" customFormat="1" ht="21.75" customHeight="1">
      <c r="A3151" s="8" t="s">
        <v>19</v>
      </c>
      <c r="B3151" s="8" t="s">
        <v>18</v>
      </c>
      <c r="C3151" s="9" t="str">
        <f t="shared" ref="C3151:C3182" si="72">"230122"</f>
        <v>230122</v>
      </c>
      <c r="D3151" s="9" t="str">
        <f>"230905313"</f>
        <v>230905313</v>
      </c>
      <c r="E3151" s="10">
        <v>61.37</v>
      </c>
      <c r="F3151" s="10"/>
      <c r="G3151" s="10">
        <v>75.5</v>
      </c>
      <c r="H3151" s="10"/>
      <c r="I3151" s="10">
        <v>69.849999999999994</v>
      </c>
    </row>
    <row r="3152" spans="1:9" s="3" customFormat="1" ht="21.75" customHeight="1">
      <c r="A3152" s="8" t="s">
        <v>19</v>
      </c>
      <c r="B3152" s="8" t="s">
        <v>18</v>
      </c>
      <c r="C3152" s="9" t="str">
        <f t="shared" si="72"/>
        <v>230122</v>
      </c>
      <c r="D3152" s="9" t="str">
        <f>"230905225"</f>
        <v>230905225</v>
      </c>
      <c r="E3152" s="10">
        <v>67.91</v>
      </c>
      <c r="F3152" s="10"/>
      <c r="G3152" s="10">
        <v>71</v>
      </c>
      <c r="H3152" s="10"/>
      <c r="I3152" s="10">
        <v>69.760000000000005</v>
      </c>
    </row>
    <row r="3153" spans="1:9" s="2" customFormat="1" ht="21.75" customHeight="1">
      <c r="A3153" s="8" t="s">
        <v>19</v>
      </c>
      <c r="B3153" s="8" t="s">
        <v>18</v>
      </c>
      <c r="C3153" s="9" t="str">
        <f t="shared" si="72"/>
        <v>230122</v>
      </c>
      <c r="D3153" s="9" t="str">
        <f>"230905301"</f>
        <v>230905301</v>
      </c>
      <c r="E3153" s="10">
        <v>69.41</v>
      </c>
      <c r="F3153" s="10"/>
      <c r="G3153" s="10">
        <v>70</v>
      </c>
      <c r="H3153" s="10"/>
      <c r="I3153" s="10">
        <v>69.760000000000005</v>
      </c>
    </row>
    <row r="3154" spans="1:9" s="2" customFormat="1" ht="21.75" customHeight="1">
      <c r="A3154" s="8" t="s">
        <v>19</v>
      </c>
      <c r="B3154" s="8" t="s">
        <v>18</v>
      </c>
      <c r="C3154" s="9" t="str">
        <f t="shared" si="72"/>
        <v>230122</v>
      </c>
      <c r="D3154" s="9" t="str">
        <f>"230905304"</f>
        <v>230905304</v>
      </c>
      <c r="E3154" s="10">
        <v>65.27</v>
      </c>
      <c r="F3154" s="10"/>
      <c r="G3154" s="10">
        <v>72.5</v>
      </c>
      <c r="H3154" s="10"/>
      <c r="I3154" s="10">
        <v>69.61</v>
      </c>
    </row>
    <row r="3155" spans="1:9" s="3" customFormat="1" ht="21.75" customHeight="1">
      <c r="A3155" s="8" t="s">
        <v>19</v>
      </c>
      <c r="B3155" s="8" t="s">
        <v>18</v>
      </c>
      <c r="C3155" s="9" t="str">
        <f t="shared" si="72"/>
        <v>230122</v>
      </c>
      <c r="D3155" s="9" t="str">
        <f>"230905122"</f>
        <v>230905122</v>
      </c>
      <c r="E3155" s="10">
        <v>66.75</v>
      </c>
      <c r="F3155" s="10"/>
      <c r="G3155" s="10">
        <v>71.5</v>
      </c>
      <c r="H3155" s="10"/>
      <c r="I3155" s="10">
        <v>69.599999999999994</v>
      </c>
    </row>
    <row r="3156" spans="1:9" s="2" customFormat="1" ht="21.75" customHeight="1">
      <c r="A3156" s="8" t="s">
        <v>19</v>
      </c>
      <c r="B3156" s="8" t="s">
        <v>18</v>
      </c>
      <c r="C3156" s="9" t="str">
        <f t="shared" si="72"/>
        <v>230122</v>
      </c>
      <c r="D3156" s="9" t="str">
        <f>"230905217"</f>
        <v>230905217</v>
      </c>
      <c r="E3156" s="10">
        <v>71.69</v>
      </c>
      <c r="F3156" s="10"/>
      <c r="G3156" s="10">
        <v>68</v>
      </c>
      <c r="H3156" s="10"/>
      <c r="I3156" s="10">
        <v>69.48</v>
      </c>
    </row>
    <row r="3157" spans="1:9" s="2" customFormat="1" ht="21.75" customHeight="1">
      <c r="A3157" s="8" t="s">
        <v>19</v>
      </c>
      <c r="B3157" s="8" t="s">
        <v>18</v>
      </c>
      <c r="C3157" s="9" t="str">
        <f t="shared" si="72"/>
        <v>230122</v>
      </c>
      <c r="D3157" s="9" t="str">
        <f>"230905223"</f>
        <v>230905223</v>
      </c>
      <c r="E3157" s="10">
        <v>67.209999999999994</v>
      </c>
      <c r="F3157" s="10"/>
      <c r="G3157" s="10">
        <v>70.5</v>
      </c>
      <c r="H3157" s="10"/>
      <c r="I3157" s="10">
        <v>69.180000000000007</v>
      </c>
    </row>
    <row r="3158" spans="1:9" s="2" customFormat="1" ht="21.75" customHeight="1">
      <c r="A3158" s="8" t="s">
        <v>19</v>
      </c>
      <c r="B3158" s="8" t="s">
        <v>18</v>
      </c>
      <c r="C3158" s="9" t="str">
        <f t="shared" si="72"/>
        <v>230122</v>
      </c>
      <c r="D3158" s="9" t="str">
        <f>"230905102"</f>
        <v>230905102</v>
      </c>
      <c r="E3158" s="10">
        <v>66.98</v>
      </c>
      <c r="F3158" s="10"/>
      <c r="G3158" s="10">
        <v>70.5</v>
      </c>
      <c r="H3158" s="10"/>
      <c r="I3158" s="10">
        <v>69.09</v>
      </c>
    </row>
    <row r="3159" spans="1:9" s="3" customFormat="1" ht="21.75" customHeight="1">
      <c r="A3159" s="8" t="s">
        <v>19</v>
      </c>
      <c r="B3159" s="8" t="s">
        <v>18</v>
      </c>
      <c r="C3159" s="9" t="str">
        <f t="shared" si="72"/>
        <v>230122</v>
      </c>
      <c r="D3159" s="9" t="str">
        <f>"230905209"</f>
        <v>230905209</v>
      </c>
      <c r="E3159" s="10">
        <v>62.84</v>
      </c>
      <c r="F3159" s="10"/>
      <c r="G3159" s="10">
        <v>73</v>
      </c>
      <c r="H3159" s="10"/>
      <c r="I3159" s="10">
        <v>68.94</v>
      </c>
    </row>
    <row r="3160" spans="1:9" s="2" customFormat="1" ht="21.75" customHeight="1">
      <c r="A3160" s="8" t="s">
        <v>19</v>
      </c>
      <c r="B3160" s="8" t="s">
        <v>18</v>
      </c>
      <c r="C3160" s="9" t="str">
        <f t="shared" si="72"/>
        <v>230122</v>
      </c>
      <c r="D3160" s="9" t="str">
        <f>"230905114"</f>
        <v>230905114</v>
      </c>
      <c r="E3160" s="10">
        <v>73.900000000000006</v>
      </c>
      <c r="F3160" s="10"/>
      <c r="G3160" s="10">
        <v>65</v>
      </c>
      <c r="H3160" s="10"/>
      <c r="I3160" s="10">
        <v>68.56</v>
      </c>
    </row>
    <row r="3161" spans="1:9" s="3" customFormat="1" ht="21.75" customHeight="1">
      <c r="A3161" s="8" t="s">
        <v>19</v>
      </c>
      <c r="B3161" s="8" t="s">
        <v>18</v>
      </c>
      <c r="C3161" s="9" t="str">
        <f t="shared" si="72"/>
        <v>230122</v>
      </c>
      <c r="D3161" s="9" t="str">
        <f>"230905127"</f>
        <v>230905127</v>
      </c>
      <c r="E3161" s="10">
        <v>66.989999999999995</v>
      </c>
      <c r="F3161" s="10"/>
      <c r="G3161" s="10">
        <v>69.5</v>
      </c>
      <c r="H3161" s="10"/>
      <c r="I3161" s="10">
        <v>68.5</v>
      </c>
    </row>
    <row r="3162" spans="1:9" s="2" customFormat="1" ht="21.75" customHeight="1">
      <c r="A3162" s="8" t="s">
        <v>19</v>
      </c>
      <c r="B3162" s="8" t="s">
        <v>18</v>
      </c>
      <c r="C3162" s="9" t="str">
        <f t="shared" si="72"/>
        <v>230122</v>
      </c>
      <c r="D3162" s="9" t="str">
        <f>"230905108"</f>
        <v>230905108</v>
      </c>
      <c r="E3162" s="10">
        <v>57.47</v>
      </c>
      <c r="F3162" s="10"/>
      <c r="G3162" s="10">
        <v>75</v>
      </c>
      <c r="H3162" s="10"/>
      <c r="I3162" s="10">
        <v>67.989999999999995</v>
      </c>
    </row>
    <row r="3163" spans="1:9" s="3" customFormat="1" ht="21.75" customHeight="1">
      <c r="A3163" s="8" t="s">
        <v>19</v>
      </c>
      <c r="B3163" s="8" t="s">
        <v>18</v>
      </c>
      <c r="C3163" s="9" t="str">
        <f t="shared" si="72"/>
        <v>230122</v>
      </c>
      <c r="D3163" s="9" t="str">
        <f>"230905117"</f>
        <v>230905117</v>
      </c>
      <c r="E3163" s="10">
        <v>66.08</v>
      </c>
      <c r="F3163" s="10"/>
      <c r="G3163" s="10">
        <v>69</v>
      </c>
      <c r="H3163" s="10"/>
      <c r="I3163" s="10">
        <v>67.83</v>
      </c>
    </row>
    <row r="3164" spans="1:9" s="2" customFormat="1" ht="21.75" customHeight="1">
      <c r="A3164" s="8" t="s">
        <v>19</v>
      </c>
      <c r="B3164" s="8" t="s">
        <v>18</v>
      </c>
      <c r="C3164" s="9" t="str">
        <f t="shared" si="72"/>
        <v>230122</v>
      </c>
      <c r="D3164" s="9" t="str">
        <f>"230905208"</f>
        <v>230905208</v>
      </c>
      <c r="E3164" s="10">
        <v>67.33</v>
      </c>
      <c r="F3164" s="10"/>
      <c r="G3164" s="10">
        <v>67.5</v>
      </c>
      <c r="H3164" s="10"/>
      <c r="I3164" s="10">
        <v>67.430000000000007</v>
      </c>
    </row>
    <row r="3165" spans="1:9" s="3" customFormat="1" ht="21.75" customHeight="1">
      <c r="A3165" s="8" t="s">
        <v>19</v>
      </c>
      <c r="B3165" s="8" t="s">
        <v>18</v>
      </c>
      <c r="C3165" s="9" t="str">
        <f t="shared" si="72"/>
        <v>230122</v>
      </c>
      <c r="D3165" s="9" t="str">
        <f>"230905212"</f>
        <v>230905212</v>
      </c>
      <c r="E3165" s="10">
        <v>59.75</v>
      </c>
      <c r="F3165" s="10"/>
      <c r="G3165" s="10">
        <v>72.5</v>
      </c>
      <c r="H3165" s="10"/>
      <c r="I3165" s="10">
        <v>67.400000000000006</v>
      </c>
    </row>
    <row r="3166" spans="1:9" s="2" customFormat="1" ht="21.75" customHeight="1">
      <c r="A3166" s="8" t="s">
        <v>19</v>
      </c>
      <c r="B3166" s="8" t="s">
        <v>18</v>
      </c>
      <c r="C3166" s="9" t="str">
        <f t="shared" si="72"/>
        <v>230122</v>
      </c>
      <c r="D3166" s="9" t="str">
        <f>"230905230"</f>
        <v>230905230</v>
      </c>
      <c r="E3166" s="10">
        <v>66.400000000000006</v>
      </c>
      <c r="F3166" s="10"/>
      <c r="G3166" s="10">
        <v>67.5</v>
      </c>
      <c r="H3166" s="10"/>
      <c r="I3166" s="10">
        <v>67.06</v>
      </c>
    </row>
    <row r="3167" spans="1:9" s="3" customFormat="1" ht="21.75" customHeight="1">
      <c r="A3167" s="8" t="s">
        <v>19</v>
      </c>
      <c r="B3167" s="8" t="s">
        <v>18</v>
      </c>
      <c r="C3167" s="9" t="str">
        <f t="shared" si="72"/>
        <v>230122</v>
      </c>
      <c r="D3167" s="9" t="str">
        <f>"230905211"</f>
        <v>230905211</v>
      </c>
      <c r="E3167" s="10">
        <v>61.12</v>
      </c>
      <c r="F3167" s="10"/>
      <c r="G3167" s="10">
        <v>70.5</v>
      </c>
      <c r="H3167" s="10"/>
      <c r="I3167" s="10">
        <v>66.75</v>
      </c>
    </row>
    <row r="3168" spans="1:9" s="2" customFormat="1" ht="21.75" customHeight="1">
      <c r="A3168" s="8" t="s">
        <v>19</v>
      </c>
      <c r="B3168" s="8" t="s">
        <v>18</v>
      </c>
      <c r="C3168" s="9" t="str">
        <f t="shared" si="72"/>
        <v>230122</v>
      </c>
      <c r="D3168" s="9" t="str">
        <f>"230905112"</f>
        <v>230905112</v>
      </c>
      <c r="E3168" s="10">
        <v>57.2</v>
      </c>
      <c r="F3168" s="10"/>
      <c r="G3168" s="10">
        <v>73</v>
      </c>
      <c r="H3168" s="10"/>
      <c r="I3168" s="10">
        <v>66.680000000000007</v>
      </c>
    </row>
    <row r="3169" spans="1:9" s="3" customFormat="1" ht="21.75" customHeight="1">
      <c r="A3169" s="8" t="s">
        <v>19</v>
      </c>
      <c r="B3169" s="8" t="s">
        <v>18</v>
      </c>
      <c r="C3169" s="9" t="str">
        <f t="shared" si="72"/>
        <v>230122</v>
      </c>
      <c r="D3169" s="9" t="str">
        <f>"230905105"</f>
        <v>230905105</v>
      </c>
      <c r="E3169" s="10">
        <v>64.569999999999993</v>
      </c>
      <c r="F3169" s="10"/>
      <c r="G3169" s="10">
        <v>66.5</v>
      </c>
      <c r="H3169" s="10"/>
      <c r="I3169" s="10">
        <v>65.73</v>
      </c>
    </row>
    <row r="3170" spans="1:9" s="3" customFormat="1" ht="21.75" customHeight="1">
      <c r="A3170" s="8" t="s">
        <v>19</v>
      </c>
      <c r="B3170" s="8" t="s">
        <v>18</v>
      </c>
      <c r="C3170" s="9" t="str">
        <f t="shared" si="72"/>
        <v>230122</v>
      </c>
      <c r="D3170" s="9" t="str">
        <f>"230905118"</f>
        <v>230905118</v>
      </c>
      <c r="E3170" s="10">
        <v>70.900000000000006</v>
      </c>
      <c r="F3170" s="10"/>
      <c r="G3170" s="10">
        <v>62</v>
      </c>
      <c r="H3170" s="10"/>
      <c r="I3170" s="10">
        <v>65.56</v>
      </c>
    </row>
    <row r="3171" spans="1:9" s="3" customFormat="1" ht="21.75" customHeight="1">
      <c r="A3171" s="8" t="s">
        <v>19</v>
      </c>
      <c r="B3171" s="8" t="s">
        <v>18</v>
      </c>
      <c r="C3171" s="9" t="str">
        <f t="shared" si="72"/>
        <v>230122</v>
      </c>
      <c r="D3171" s="9" t="str">
        <f>"230905317"</f>
        <v>230905317</v>
      </c>
      <c r="E3171" s="10">
        <v>59.4</v>
      </c>
      <c r="F3171" s="10"/>
      <c r="G3171" s="10">
        <v>69</v>
      </c>
      <c r="H3171" s="10"/>
      <c r="I3171" s="10">
        <v>65.16</v>
      </c>
    </row>
    <row r="3172" spans="1:9" s="2" customFormat="1" ht="21.75" customHeight="1">
      <c r="A3172" s="8" t="s">
        <v>19</v>
      </c>
      <c r="B3172" s="8" t="s">
        <v>18</v>
      </c>
      <c r="C3172" s="9" t="str">
        <f t="shared" si="72"/>
        <v>230122</v>
      </c>
      <c r="D3172" s="9" t="str">
        <f>"230905125"</f>
        <v>230905125</v>
      </c>
      <c r="E3172" s="10">
        <v>59.28</v>
      </c>
      <c r="F3172" s="10"/>
      <c r="G3172" s="10">
        <v>68.5</v>
      </c>
      <c r="H3172" s="10"/>
      <c r="I3172" s="10">
        <v>64.81</v>
      </c>
    </row>
    <row r="3173" spans="1:9" s="2" customFormat="1" ht="21.75" customHeight="1">
      <c r="A3173" s="8" t="s">
        <v>19</v>
      </c>
      <c r="B3173" s="8" t="s">
        <v>18</v>
      </c>
      <c r="C3173" s="9" t="str">
        <f t="shared" si="72"/>
        <v>230122</v>
      </c>
      <c r="D3173" s="9" t="str">
        <f>"230905205"</f>
        <v>230905205</v>
      </c>
      <c r="E3173" s="10">
        <v>68.819999999999993</v>
      </c>
      <c r="F3173" s="10"/>
      <c r="G3173" s="10">
        <v>62</v>
      </c>
      <c r="H3173" s="10"/>
      <c r="I3173" s="10">
        <v>64.73</v>
      </c>
    </row>
    <row r="3174" spans="1:9" s="2" customFormat="1" ht="21.75" customHeight="1">
      <c r="A3174" s="8" t="s">
        <v>19</v>
      </c>
      <c r="B3174" s="8" t="s">
        <v>18</v>
      </c>
      <c r="C3174" s="9" t="str">
        <f t="shared" si="72"/>
        <v>230122</v>
      </c>
      <c r="D3174" s="9" t="str">
        <f>"230905203"</f>
        <v>230905203</v>
      </c>
      <c r="E3174" s="10">
        <v>51.24</v>
      </c>
      <c r="F3174" s="10"/>
      <c r="G3174" s="10">
        <v>70</v>
      </c>
      <c r="H3174" s="10"/>
      <c r="I3174" s="10">
        <v>62.5</v>
      </c>
    </row>
    <row r="3175" spans="1:9" s="3" customFormat="1" ht="21.75" customHeight="1">
      <c r="A3175" s="8" t="s">
        <v>19</v>
      </c>
      <c r="B3175" s="8" t="s">
        <v>18</v>
      </c>
      <c r="C3175" s="9" t="str">
        <f t="shared" si="72"/>
        <v>230122</v>
      </c>
      <c r="D3175" s="9" t="str">
        <f>"230905319"</f>
        <v>230905319</v>
      </c>
      <c r="E3175" s="10">
        <v>55.36</v>
      </c>
      <c r="F3175" s="10"/>
      <c r="G3175" s="10">
        <v>65.5</v>
      </c>
      <c r="H3175" s="10"/>
      <c r="I3175" s="10">
        <v>61.44</v>
      </c>
    </row>
    <row r="3176" spans="1:9" s="2" customFormat="1" ht="21.75" customHeight="1">
      <c r="A3176" s="8" t="s">
        <v>19</v>
      </c>
      <c r="B3176" s="8" t="s">
        <v>18</v>
      </c>
      <c r="C3176" s="9" t="str">
        <f t="shared" si="72"/>
        <v>230122</v>
      </c>
      <c r="D3176" s="9" t="str">
        <f>"230905202"</f>
        <v>230905202</v>
      </c>
      <c r="E3176" s="10">
        <v>53.64</v>
      </c>
      <c r="F3176" s="10"/>
      <c r="G3176" s="10">
        <v>65</v>
      </c>
      <c r="H3176" s="10"/>
      <c r="I3176" s="10">
        <v>60.46</v>
      </c>
    </row>
    <row r="3177" spans="1:9" s="2" customFormat="1" ht="21.75" customHeight="1">
      <c r="A3177" s="8" t="s">
        <v>19</v>
      </c>
      <c r="B3177" s="8" t="s">
        <v>18</v>
      </c>
      <c r="C3177" s="9" t="str">
        <f t="shared" si="72"/>
        <v>230122</v>
      </c>
      <c r="D3177" s="9" t="str">
        <f>"230905115"</f>
        <v>230905115</v>
      </c>
      <c r="E3177" s="10">
        <v>61.57</v>
      </c>
      <c r="F3177" s="10"/>
      <c r="G3177" s="10">
        <v>55.5</v>
      </c>
      <c r="H3177" s="10"/>
      <c r="I3177" s="10">
        <v>57.93</v>
      </c>
    </row>
    <row r="3178" spans="1:9" s="3" customFormat="1" ht="21.75" customHeight="1">
      <c r="A3178" s="8" t="s">
        <v>19</v>
      </c>
      <c r="B3178" s="8" t="s">
        <v>18</v>
      </c>
      <c r="C3178" s="9" t="str">
        <f t="shared" si="72"/>
        <v>230122</v>
      </c>
      <c r="D3178" s="9" t="str">
        <f>"230905129"</f>
        <v>230905129</v>
      </c>
      <c r="E3178" s="10">
        <v>55.14</v>
      </c>
      <c r="F3178" s="10"/>
      <c r="G3178" s="10">
        <v>57</v>
      </c>
      <c r="H3178" s="10"/>
      <c r="I3178" s="10">
        <v>56.26</v>
      </c>
    </row>
    <row r="3179" spans="1:9" s="2" customFormat="1" ht="21.75" customHeight="1">
      <c r="A3179" s="8" t="s">
        <v>19</v>
      </c>
      <c r="B3179" s="8" t="s">
        <v>18</v>
      </c>
      <c r="C3179" s="9" t="str">
        <f t="shared" si="72"/>
        <v>230122</v>
      </c>
      <c r="D3179" s="9" t="str">
        <f>"230905116"</f>
        <v>230905116</v>
      </c>
      <c r="E3179" s="10">
        <v>45.5</v>
      </c>
      <c r="F3179" s="10"/>
      <c r="G3179" s="10">
        <v>47.5</v>
      </c>
      <c r="H3179" s="10"/>
      <c r="I3179" s="10">
        <v>46.7</v>
      </c>
    </row>
    <row r="3180" spans="1:9" s="3" customFormat="1" ht="21.75" customHeight="1">
      <c r="A3180" s="8" t="s">
        <v>19</v>
      </c>
      <c r="B3180" s="8" t="s">
        <v>18</v>
      </c>
      <c r="C3180" s="9" t="str">
        <f t="shared" si="72"/>
        <v>230122</v>
      </c>
      <c r="D3180" s="9" t="str">
        <f>"230905126"</f>
        <v>230905126</v>
      </c>
      <c r="E3180" s="10">
        <v>51.81</v>
      </c>
      <c r="F3180" s="10"/>
      <c r="G3180" s="10">
        <v>40.5</v>
      </c>
      <c r="H3180" s="10"/>
      <c r="I3180" s="10">
        <v>45.02</v>
      </c>
    </row>
    <row r="3181" spans="1:9" s="2" customFormat="1" ht="21.75" customHeight="1">
      <c r="A3181" s="8" t="s">
        <v>19</v>
      </c>
      <c r="B3181" s="8" t="s">
        <v>18</v>
      </c>
      <c r="C3181" s="9" t="str">
        <f t="shared" si="72"/>
        <v>230122</v>
      </c>
      <c r="D3181" s="9" t="str">
        <f>"230905025"</f>
        <v>230905025</v>
      </c>
      <c r="E3181" s="10">
        <v>0</v>
      </c>
      <c r="F3181" s="10"/>
      <c r="G3181" s="10">
        <v>0</v>
      </c>
      <c r="H3181" s="10"/>
      <c r="I3181" s="10">
        <v>0</v>
      </c>
    </row>
    <row r="3182" spans="1:9" s="2" customFormat="1" ht="21.75" customHeight="1">
      <c r="A3182" s="8" t="s">
        <v>19</v>
      </c>
      <c r="B3182" s="8" t="s">
        <v>18</v>
      </c>
      <c r="C3182" s="9" t="str">
        <f t="shared" si="72"/>
        <v>230122</v>
      </c>
      <c r="D3182" s="9" t="str">
        <f>"230905027"</f>
        <v>230905027</v>
      </c>
      <c r="E3182" s="10">
        <v>0</v>
      </c>
      <c r="F3182" s="10"/>
      <c r="G3182" s="10">
        <v>0</v>
      </c>
      <c r="H3182" s="10"/>
      <c r="I3182" s="10">
        <v>0</v>
      </c>
    </row>
    <row r="3183" spans="1:9" s="2" customFormat="1" ht="21.75" customHeight="1">
      <c r="A3183" s="8" t="s">
        <v>19</v>
      </c>
      <c r="B3183" s="8" t="s">
        <v>18</v>
      </c>
      <c r="C3183" s="9" t="str">
        <f t="shared" ref="C3183:C3204" si="73">"230122"</f>
        <v>230122</v>
      </c>
      <c r="D3183" s="9" t="str">
        <f>"230905101"</f>
        <v>230905101</v>
      </c>
      <c r="E3183" s="10">
        <v>0</v>
      </c>
      <c r="F3183" s="10"/>
      <c r="G3183" s="10">
        <v>0</v>
      </c>
      <c r="H3183" s="10"/>
      <c r="I3183" s="10">
        <v>0</v>
      </c>
    </row>
    <row r="3184" spans="1:9" s="2" customFormat="1" ht="21.75" customHeight="1">
      <c r="A3184" s="8" t="s">
        <v>19</v>
      </c>
      <c r="B3184" s="8" t="s">
        <v>18</v>
      </c>
      <c r="C3184" s="9" t="str">
        <f t="shared" si="73"/>
        <v>230122</v>
      </c>
      <c r="D3184" s="9" t="str">
        <f>"230905104"</f>
        <v>230905104</v>
      </c>
      <c r="E3184" s="10">
        <v>0</v>
      </c>
      <c r="F3184" s="10"/>
      <c r="G3184" s="10">
        <v>0</v>
      </c>
      <c r="H3184" s="10"/>
      <c r="I3184" s="10">
        <v>0</v>
      </c>
    </row>
    <row r="3185" spans="1:9" s="2" customFormat="1" ht="21.75" customHeight="1">
      <c r="A3185" s="8" t="s">
        <v>19</v>
      </c>
      <c r="B3185" s="8" t="s">
        <v>18</v>
      </c>
      <c r="C3185" s="9" t="str">
        <f t="shared" si="73"/>
        <v>230122</v>
      </c>
      <c r="D3185" s="9" t="str">
        <f>"230905106"</f>
        <v>230905106</v>
      </c>
      <c r="E3185" s="10">
        <v>0</v>
      </c>
      <c r="F3185" s="10"/>
      <c r="G3185" s="10">
        <v>0</v>
      </c>
      <c r="H3185" s="10"/>
      <c r="I3185" s="10">
        <v>0</v>
      </c>
    </row>
    <row r="3186" spans="1:9" s="2" customFormat="1" ht="21.75" customHeight="1">
      <c r="A3186" s="8" t="s">
        <v>19</v>
      </c>
      <c r="B3186" s="8" t="s">
        <v>18</v>
      </c>
      <c r="C3186" s="9" t="str">
        <f t="shared" si="73"/>
        <v>230122</v>
      </c>
      <c r="D3186" s="9" t="str">
        <f>"230905107"</f>
        <v>230905107</v>
      </c>
      <c r="E3186" s="10">
        <v>0</v>
      </c>
      <c r="F3186" s="10"/>
      <c r="G3186" s="10">
        <v>0</v>
      </c>
      <c r="H3186" s="10"/>
      <c r="I3186" s="10">
        <v>0</v>
      </c>
    </row>
    <row r="3187" spans="1:9" s="3" customFormat="1" ht="21.75" customHeight="1">
      <c r="A3187" s="8" t="s">
        <v>19</v>
      </c>
      <c r="B3187" s="8" t="s">
        <v>18</v>
      </c>
      <c r="C3187" s="9" t="str">
        <f t="shared" si="73"/>
        <v>230122</v>
      </c>
      <c r="D3187" s="9" t="str">
        <f>"230905109"</f>
        <v>230905109</v>
      </c>
      <c r="E3187" s="10">
        <v>0</v>
      </c>
      <c r="F3187" s="10"/>
      <c r="G3187" s="10">
        <v>0</v>
      </c>
      <c r="H3187" s="10"/>
      <c r="I3187" s="10">
        <v>0</v>
      </c>
    </row>
    <row r="3188" spans="1:9" s="3" customFormat="1" ht="21.75" customHeight="1">
      <c r="A3188" s="8" t="s">
        <v>19</v>
      </c>
      <c r="B3188" s="8" t="s">
        <v>18</v>
      </c>
      <c r="C3188" s="9" t="str">
        <f t="shared" si="73"/>
        <v>230122</v>
      </c>
      <c r="D3188" s="9" t="str">
        <f>"230905111"</f>
        <v>230905111</v>
      </c>
      <c r="E3188" s="10">
        <v>0</v>
      </c>
      <c r="F3188" s="10"/>
      <c r="G3188" s="10">
        <v>0</v>
      </c>
      <c r="H3188" s="10"/>
      <c r="I3188" s="10">
        <v>0</v>
      </c>
    </row>
    <row r="3189" spans="1:9" s="2" customFormat="1" ht="21.75" customHeight="1">
      <c r="A3189" s="8" t="s">
        <v>19</v>
      </c>
      <c r="B3189" s="8" t="s">
        <v>18</v>
      </c>
      <c r="C3189" s="9" t="str">
        <f t="shared" si="73"/>
        <v>230122</v>
      </c>
      <c r="D3189" s="9" t="str">
        <f>"230905113"</f>
        <v>230905113</v>
      </c>
      <c r="E3189" s="10">
        <v>0</v>
      </c>
      <c r="F3189" s="10"/>
      <c r="G3189" s="10">
        <v>0</v>
      </c>
      <c r="H3189" s="10"/>
      <c r="I3189" s="10">
        <v>0</v>
      </c>
    </row>
    <row r="3190" spans="1:9" s="2" customFormat="1" ht="21.75" customHeight="1">
      <c r="A3190" s="8" t="s">
        <v>19</v>
      </c>
      <c r="B3190" s="8" t="s">
        <v>18</v>
      </c>
      <c r="C3190" s="9" t="str">
        <f t="shared" si="73"/>
        <v>230122</v>
      </c>
      <c r="D3190" s="9" t="str">
        <f>"230905123"</f>
        <v>230905123</v>
      </c>
      <c r="E3190" s="10">
        <v>0</v>
      </c>
      <c r="F3190" s="10"/>
      <c r="G3190" s="10">
        <v>0</v>
      </c>
      <c r="H3190" s="10"/>
      <c r="I3190" s="10">
        <v>0</v>
      </c>
    </row>
    <row r="3191" spans="1:9" s="2" customFormat="1" ht="21.75" customHeight="1">
      <c r="A3191" s="8" t="s">
        <v>19</v>
      </c>
      <c r="B3191" s="8" t="s">
        <v>18</v>
      </c>
      <c r="C3191" s="9" t="str">
        <f t="shared" si="73"/>
        <v>230122</v>
      </c>
      <c r="D3191" s="9" t="str">
        <f>"230905128"</f>
        <v>230905128</v>
      </c>
      <c r="E3191" s="10">
        <v>0</v>
      </c>
      <c r="F3191" s="10"/>
      <c r="G3191" s="10">
        <v>0</v>
      </c>
      <c r="H3191" s="10"/>
      <c r="I3191" s="10">
        <v>0</v>
      </c>
    </row>
    <row r="3192" spans="1:9" s="3" customFormat="1" ht="21.75" customHeight="1">
      <c r="A3192" s="8" t="s">
        <v>19</v>
      </c>
      <c r="B3192" s="8" t="s">
        <v>18</v>
      </c>
      <c r="C3192" s="9" t="str">
        <f t="shared" si="73"/>
        <v>230122</v>
      </c>
      <c r="D3192" s="9" t="str">
        <f>"230905204"</f>
        <v>230905204</v>
      </c>
      <c r="E3192" s="10">
        <v>0</v>
      </c>
      <c r="F3192" s="10"/>
      <c r="G3192" s="10">
        <v>0</v>
      </c>
      <c r="H3192" s="10"/>
      <c r="I3192" s="10">
        <v>0</v>
      </c>
    </row>
    <row r="3193" spans="1:9" s="2" customFormat="1" ht="21.75" customHeight="1">
      <c r="A3193" s="8" t="s">
        <v>19</v>
      </c>
      <c r="B3193" s="8" t="s">
        <v>18</v>
      </c>
      <c r="C3193" s="9" t="str">
        <f t="shared" si="73"/>
        <v>230122</v>
      </c>
      <c r="D3193" s="9" t="str">
        <f>"230905206"</f>
        <v>230905206</v>
      </c>
      <c r="E3193" s="10">
        <v>0</v>
      </c>
      <c r="F3193" s="10"/>
      <c r="G3193" s="10">
        <v>0</v>
      </c>
      <c r="H3193" s="10"/>
      <c r="I3193" s="10">
        <v>0</v>
      </c>
    </row>
    <row r="3194" spans="1:9" s="3" customFormat="1" ht="21.75" customHeight="1">
      <c r="A3194" s="8" t="s">
        <v>19</v>
      </c>
      <c r="B3194" s="8" t="s">
        <v>18</v>
      </c>
      <c r="C3194" s="9" t="str">
        <f t="shared" si="73"/>
        <v>230122</v>
      </c>
      <c r="D3194" s="9" t="str">
        <f>"230905207"</f>
        <v>230905207</v>
      </c>
      <c r="E3194" s="10">
        <v>0</v>
      </c>
      <c r="F3194" s="10"/>
      <c r="G3194" s="10">
        <v>0</v>
      </c>
      <c r="H3194" s="10"/>
      <c r="I3194" s="10">
        <v>0</v>
      </c>
    </row>
    <row r="3195" spans="1:9" s="3" customFormat="1" ht="21.75" customHeight="1">
      <c r="A3195" s="8" t="s">
        <v>19</v>
      </c>
      <c r="B3195" s="8" t="s">
        <v>18</v>
      </c>
      <c r="C3195" s="9" t="str">
        <f t="shared" si="73"/>
        <v>230122</v>
      </c>
      <c r="D3195" s="9" t="str">
        <f>"230905210"</f>
        <v>230905210</v>
      </c>
      <c r="E3195" s="10">
        <v>0</v>
      </c>
      <c r="F3195" s="10"/>
      <c r="G3195" s="10">
        <v>0</v>
      </c>
      <c r="H3195" s="10"/>
      <c r="I3195" s="10">
        <v>0</v>
      </c>
    </row>
    <row r="3196" spans="1:9" s="2" customFormat="1" ht="21.75" customHeight="1">
      <c r="A3196" s="8" t="s">
        <v>19</v>
      </c>
      <c r="B3196" s="8" t="s">
        <v>18</v>
      </c>
      <c r="C3196" s="9" t="str">
        <f t="shared" si="73"/>
        <v>230122</v>
      </c>
      <c r="D3196" s="9" t="str">
        <f>"230905218"</f>
        <v>230905218</v>
      </c>
      <c r="E3196" s="10">
        <v>0</v>
      </c>
      <c r="F3196" s="10"/>
      <c r="G3196" s="10">
        <v>0</v>
      </c>
      <c r="H3196" s="10"/>
      <c r="I3196" s="10">
        <v>0</v>
      </c>
    </row>
    <row r="3197" spans="1:9" s="2" customFormat="1" ht="21.75" customHeight="1">
      <c r="A3197" s="8" t="s">
        <v>19</v>
      </c>
      <c r="B3197" s="8" t="s">
        <v>18</v>
      </c>
      <c r="C3197" s="9" t="str">
        <f t="shared" si="73"/>
        <v>230122</v>
      </c>
      <c r="D3197" s="9" t="str">
        <f>"230905224"</f>
        <v>230905224</v>
      </c>
      <c r="E3197" s="10">
        <v>0</v>
      </c>
      <c r="F3197" s="10"/>
      <c r="G3197" s="10">
        <v>0</v>
      </c>
      <c r="H3197" s="10"/>
      <c r="I3197" s="10">
        <v>0</v>
      </c>
    </row>
    <row r="3198" spans="1:9" s="3" customFormat="1" ht="21.75" customHeight="1">
      <c r="A3198" s="8" t="s">
        <v>19</v>
      </c>
      <c r="B3198" s="8" t="s">
        <v>18</v>
      </c>
      <c r="C3198" s="9" t="str">
        <f t="shared" si="73"/>
        <v>230122</v>
      </c>
      <c r="D3198" s="9" t="str">
        <f>"230905227"</f>
        <v>230905227</v>
      </c>
      <c r="E3198" s="10">
        <v>0</v>
      </c>
      <c r="F3198" s="10"/>
      <c r="G3198" s="10">
        <v>0</v>
      </c>
      <c r="H3198" s="10"/>
      <c r="I3198" s="10">
        <v>0</v>
      </c>
    </row>
    <row r="3199" spans="1:9" s="3" customFormat="1" ht="21.75" customHeight="1">
      <c r="A3199" s="8" t="s">
        <v>19</v>
      </c>
      <c r="B3199" s="8" t="s">
        <v>18</v>
      </c>
      <c r="C3199" s="9" t="str">
        <f t="shared" si="73"/>
        <v>230122</v>
      </c>
      <c r="D3199" s="9" t="str">
        <f>"230905229"</f>
        <v>230905229</v>
      </c>
      <c r="E3199" s="10">
        <v>0</v>
      </c>
      <c r="F3199" s="10"/>
      <c r="G3199" s="10">
        <v>0</v>
      </c>
      <c r="H3199" s="10"/>
      <c r="I3199" s="10">
        <v>0</v>
      </c>
    </row>
    <row r="3200" spans="1:9" s="2" customFormat="1" ht="21.75" customHeight="1">
      <c r="A3200" s="8" t="s">
        <v>19</v>
      </c>
      <c r="B3200" s="8" t="s">
        <v>18</v>
      </c>
      <c r="C3200" s="9" t="str">
        <f t="shared" si="73"/>
        <v>230122</v>
      </c>
      <c r="D3200" s="9" t="str">
        <f>"230905310"</f>
        <v>230905310</v>
      </c>
      <c r="E3200" s="10">
        <v>0</v>
      </c>
      <c r="F3200" s="10"/>
      <c r="G3200" s="10">
        <v>0</v>
      </c>
      <c r="H3200" s="10"/>
      <c r="I3200" s="10">
        <v>0</v>
      </c>
    </row>
    <row r="3201" spans="1:9" s="2" customFormat="1" ht="21.75" customHeight="1">
      <c r="A3201" s="8" t="s">
        <v>19</v>
      </c>
      <c r="B3201" s="8" t="s">
        <v>18</v>
      </c>
      <c r="C3201" s="9" t="str">
        <f t="shared" si="73"/>
        <v>230122</v>
      </c>
      <c r="D3201" s="9" t="str">
        <f>"230905312"</f>
        <v>230905312</v>
      </c>
      <c r="E3201" s="10">
        <v>0</v>
      </c>
      <c r="F3201" s="10"/>
      <c r="G3201" s="10">
        <v>0</v>
      </c>
      <c r="H3201" s="10"/>
      <c r="I3201" s="10">
        <v>0</v>
      </c>
    </row>
    <row r="3202" spans="1:9" s="3" customFormat="1" ht="21.75" customHeight="1">
      <c r="A3202" s="8" t="s">
        <v>19</v>
      </c>
      <c r="B3202" s="8" t="s">
        <v>18</v>
      </c>
      <c r="C3202" s="9" t="str">
        <f t="shared" si="73"/>
        <v>230122</v>
      </c>
      <c r="D3202" s="9" t="str">
        <f>"230905316"</f>
        <v>230905316</v>
      </c>
      <c r="E3202" s="10">
        <v>0</v>
      </c>
      <c r="F3202" s="10"/>
      <c r="G3202" s="10">
        <v>0</v>
      </c>
      <c r="H3202" s="10"/>
      <c r="I3202" s="10">
        <v>0</v>
      </c>
    </row>
    <row r="3203" spans="1:9" s="3" customFormat="1" ht="21.75" customHeight="1">
      <c r="A3203" s="8" t="s">
        <v>19</v>
      </c>
      <c r="B3203" s="8" t="s">
        <v>18</v>
      </c>
      <c r="C3203" s="9" t="str">
        <f t="shared" si="73"/>
        <v>230122</v>
      </c>
      <c r="D3203" s="9" t="str">
        <f>"230905318"</f>
        <v>230905318</v>
      </c>
      <c r="E3203" s="10">
        <v>0</v>
      </c>
      <c r="F3203" s="10"/>
      <c r="G3203" s="10">
        <v>0</v>
      </c>
      <c r="H3203" s="10"/>
      <c r="I3203" s="10">
        <v>0</v>
      </c>
    </row>
    <row r="3204" spans="1:9" s="3" customFormat="1" ht="21.75" customHeight="1">
      <c r="A3204" s="8" t="s">
        <v>19</v>
      </c>
      <c r="B3204" s="8" t="s">
        <v>18</v>
      </c>
      <c r="C3204" s="9" t="str">
        <f t="shared" si="73"/>
        <v>230122</v>
      </c>
      <c r="D3204" s="9" t="str">
        <f>"230905320"</f>
        <v>230905320</v>
      </c>
      <c r="E3204" s="10">
        <v>0</v>
      </c>
      <c r="F3204" s="10"/>
      <c r="G3204" s="10">
        <v>0</v>
      </c>
      <c r="H3204" s="10"/>
      <c r="I3204" s="10">
        <v>0</v>
      </c>
    </row>
    <row r="3205" spans="1:9" ht="21.75" customHeight="1">
      <c r="A3205" s="8" t="s">
        <v>19</v>
      </c>
      <c r="B3205" s="8" t="s">
        <v>20</v>
      </c>
      <c r="C3205" s="9" t="str">
        <f t="shared" ref="C3205:C3236" si="74">"230123"</f>
        <v>230123</v>
      </c>
      <c r="D3205" s="9" t="str">
        <f>"230905705"</f>
        <v>230905705</v>
      </c>
      <c r="E3205" s="10">
        <v>87.92</v>
      </c>
      <c r="F3205" s="10"/>
      <c r="G3205" s="10">
        <v>80</v>
      </c>
      <c r="H3205" s="10"/>
      <c r="I3205" s="10">
        <v>83.17</v>
      </c>
    </row>
    <row r="3206" spans="1:9" ht="21.75" customHeight="1">
      <c r="A3206" s="8" t="s">
        <v>19</v>
      </c>
      <c r="B3206" s="8" t="s">
        <v>20</v>
      </c>
      <c r="C3206" s="9" t="str">
        <f t="shared" si="74"/>
        <v>230123</v>
      </c>
      <c r="D3206" s="9" t="str">
        <f>"230905615"</f>
        <v>230905615</v>
      </c>
      <c r="E3206" s="10">
        <v>86.43</v>
      </c>
      <c r="F3206" s="10"/>
      <c r="G3206" s="10">
        <v>77.5</v>
      </c>
      <c r="H3206" s="10"/>
      <c r="I3206" s="10">
        <v>81.069999999999993</v>
      </c>
    </row>
    <row r="3207" spans="1:9" s="1" customFormat="1" ht="21.75" customHeight="1">
      <c r="A3207" s="8" t="s">
        <v>19</v>
      </c>
      <c r="B3207" s="8" t="s">
        <v>20</v>
      </c>
      <c r="C3207" s="9" t="str">
        <f t="shared" si="74"/>
        <v>230123</v>
      </c>
      <c r="D3207" s="9" t="str">
        <f>"230905423"</f>
        <v>230905423</v>
      </c>
      <c r="E3207" s="10">
        <v>86.66</v>
      </c>
      <c r="F3207" s="10"/>
      <c r="G3207" s="10">
        <v>74</v>
      </c>
      <c r="H3207" s="10"/>
      <c r="I3207" s="10">
        <v>79.06</v>
      </c>
    </row>
    <row r="3208" spans="1:9" ht="21.75" customHeight="1">
      <c r="A3208" s="8" t="s">
        <v>19</v>
      </c>
      <c r="B3208" s="8" t="s">
        <v>20</v>
      </c>
      <c r="C3208" s="9" t="str">
        <f t="shared" si="74"/>
        <v>230123</v>
      </c>
      <c r="D3208" s="9" t="str">
        <f>"230905604"</f>
        <v>230905604</v>
      </c>
      <c r="E3208" s="10">
        <v>77.69</v>
      </c>
      <c r="F3208" s="10"/>
      <c r="G3208" s="10">
        <v>79.5</v>
      </c>
      <c r="H3208" s="10"/>
      <c r="I3208" s="10">
        <v>78.78</v>
      </c>
    </row>
    <row r="3209" spans="1:9" ht="21.75" customHeight="1">
      <c r="A3209" s="8" t="s">
        <v>19</v>
      </c>
      <c r="B3209" s="8" t="s">
        <v>20</v>
      </c>
      <c r="C3209" s="9" t="str">
        <f t="shared" si="74"/>
        <v>230123</v>
      </c>
      <c r="D3209" s="9" t="str">
        <f>"230905325"</f>
        <v>230905325</v>
      </c>
      <c r="E3209" s="10">
        <v>84.25</v>
      </c>
      <c r="F3209" s="10"/>
      <c r="G3209" s="10">
        <v>75</v>
      </c>
      <c r="H3209" s="10"/>
      <c r="I3209" s="10">
        <v>78.7</v>
      </c>
    </row>
    <row r="3210" spans="1:9" s="1" customFormat="1" ht="21.75" customHeight="1">
      <c r="A3210" s="8" t="s">
        <v>19</v>
      </c>
      <c r="B3210" s="8" t="s">
        <v>20</v>
      </c>
      <c r="C3210" s="9" t="str">
        <f t="shared" si="74"/>
        <v>230123</v>
      </c>
      <c r="D3210" s="9" t="str">
        <f>"230905618"</f>
        <v>230905618</v>
      </c>
      <c r="E3210" s="10">
        <v>75.150000000000006</v>
      </c>
      <c r="F3210" s="10"/>
      <c r="G3210" s="10">
        <v>79.5</v>
      </c>
      <c r="H3210" s="10"/>
      <c r="I3210" s="10">
        <v>77.760000000000005</v>
      </c>
    </row>
    <row r="3211" spans="1:9" s="1" customFormat="1" ht="21.75" customHeight="1">
      <c r="A3211" s="8" t="s">
        <v>19</v>
      </c>
      <c r="B3211" s="8" t="s">
        <v>20</v>
      </c>
      <c r="C3211" s="9" t="str">
        <f t="shared" si="74"/>
        <v>230123</v>
      </c>
      <c r="D3211" s="9" t="str">
        <f>"230905520"</f>
        <v>230905520</v>
      </c>
      <c r="E3211" s="10">
        <v>81.83</v>
      </c>
      <c r="F3211" s="10"/>
      <c r="G3211" s="10">
        <v>75</v>
      </c>
      <c r="H3211" s="10"/>
      <c r="I3211" s="10">
        <v>77.73</v>
      </c>
    </row>
    <row r="3212" spans="1:9" s="1" customFormat="1" ht="21.75" customHeight="1">
      <c r="A3212" s="8" t="s">
        <v>19</v>
      </c>
      <c r="B3212" s="8" t="s">
        <v>20</v>
      </c>
      <c r="C3212" s="9" t="str">
        <f t="shared" si="74"/>
        <v>230123</v>
      </c>
      <c r="D3212" s="9" t="str">
        <f>"230905717"</f>
        <v>230905717</v>
      </c>
      <c r="E3212" s="10">
        <v>81.02</v>
      </c>
      <c r="F3212" s="10"/>
      <c r="G3212" s="10">
        <v>75.5</v>
      </c>
      <c r="H3212" s="10"/>
      <c r="I3212" s="10">
        <v>77.709999999999994</v>
      </c>
    </row>
    <row r="3213" spans="1:9" s="1" customFormat="1" ht="21.75" customHeight="1">
      <c r="A3213" s="8" t="s">
        <v>19</v>
      </c>
      <c r="B3213" s="8" t="s">
        <v>20</v>
      </c>
      <c r="C3213" s="9" t="str">
        <f t="shared" si="74"/>
        <v>230123</v>
      </c>
      <c r="D3213" s="9" t="str">
        <f>"230905722"</f>
        <v>230905722</v>
      </c>
      <c r="E3213" s="10">
        <v>82.51</v>
      </c>
      <c r="F3213" s="10"/>
      <c r="G3213" s="10">
        <v>74.5</v>
      </c>
      <c r="H3213" s="10"/>
      <c r="I3213" s="10">
        <v>77.7</v>
      </c>
    </row>
    <row r="3214" spans="1:9" s="1" customFormat="1" ht="21.75" customHeight="1">
      <c r="A3214" s="8" t="s">
        <v>19</v>
      </c>
      <c r="B3214" s="8" t="s">
        <v>20</v>
      </c>
      <c r="C3214" s="9" t="str">
        <f t="shared" si="74"/>
        <v>230123</v>
      </c>
      <c r="D3214" s="9" t="str">
        <f>"230905427"</f>
        <v>230905427</v>
      </c>
      <c r="E3214" s="10">
        <v>80.67</v>
      </c>
      <c r="F3214" s="10"/>
      <c r="G3214" s="10">
        <v>75.5</v>
      </c>
      <c r="H3214" s="10"/>
      <c r="I3214" s="10">
        <v>77.569999999999993</v>
      </c>
    </row>
    <row r="3215" spans="1:9" ht="21.75" customHeight="1">
      <c r="A3215" s="8" t="s">
        <v>19</v>
      </c>
      <c r="B3215" s="8" t="s">
        <v>20</v>
      </c>
      <c r="C3215" s="9" t="str">
        <f t="shared" si="74"/>
        <v>230123</v>
      </c>
      <c r="D3215" s="9" t="str">
        <f>"230905716"</f>
        <v>230905716</v>
      </c>
      <c r="E3215" s="10">
        <v>78.14</v>
      </c>
      <c r="F3215" s="10"/>
      <c r="G3215" s="10">
        <v>77</v>
      </c>
      <c r="H3215" s="10"/>
      <c r="I3215" s="10">
        <v>77.459999999999994</v>
      </c>
    </row>
    <row r="3216" spans="1:9" s="1" customFormat="1" ht="21.75" customHeight="1">
      <c r="A3216" s="8" t="s">
        <v>19</v>
      </c>
      <c r="B3216" s="8" t="s">
        <v>20</v>
      </c>
      <c r="C3216" s="9" t="str">
        <f t="shared" si="74"/>
        <v>230123</v>
      </c>
      <c r="D3216" s="9" t="str">
        <f>"230905603"</f>
        <v>230905603</v>
      </c>
      <c r="E3216" s="10">
        <v>80.569999999999993</v>
      </c>
      <c r="F3216" s="10"/>
      <c r="G3216" s="10">
        <v>75</v>
      </c>
      <c r="H3216" s="10"/>
      <c r="I3216" s="10">
        <v>77.23</v>
      </c>
    </row>
    <row r="3217" spans="1:9" s="1" customFormat="1" ht="21.75" customHeight="1">
      <c r="A3217" s="8" t="s">
        <v>19</v>
      </c>
      <c r="B3217" s="8" t="s">
        <v>20</v>
      </c>
      <c r="C3217" s="9" t="str">
        <f t="shared" si="74"/>
        <v>230123</v>
      </c>
      <c r="D3217" s="9" t="str">
        <f>"230905712"</f>
        <v>230905712</v>
      </c>
      <c r="E3217" s="10">
        <v>81.93</v>
      </c>
      <c r="F3217" s="10"/>
      <c r="G3217" s="10">
        <v>73</v>
      </c>
      <c r="H3217" s="10"/>
      <c r="I3217" s="10">
        <v>76.569999999999993</v>
      </c>
    </row>
    <row r="3218" spans="1:9" ht="21.75" customHeight="1">
      <c r="A3218" s="8" t="s">
        <v>19</v>
      </c>
      <c r="B3218" s="8" t="s">
        <v>20</v>
      </c>
      <c r="C3218" s="9" t="str">
        <f t="shared" si="74"/>
        <v>230123</v>
      </c>
      <c r="D3218" s="9" t="str">
        <f>"230905404"</f>
        <v>230905404</v>
      </c>
      <c r="E3218" s="10">
        <v>80.89</v>
      </c>
      <c r="F3218" s="10"/>
      <c r="G3218" s="10">
        <v>73.5</v>
      </c>
      <c r="H3218" s="10"/>
      <c r="I3218" s="10">
        <v>76.459999999999994</v>
      </c>
    </row>
    <row r="3219" spans="1:9" ht="21.75" customHeight="1">
      <c r="A3219" s="8" t="s">
        <v>19</v>
      </c>
      <c r="B3219" s="8" t="s">
        <v>20</v>
      </c>
      <c r="C3219" s="9" t="str">
        <f t="shared" si="74"/>
        <v>230123</v>
      </c>
      <c r="D3219" s="9" t="str">
        <f>"230905701"</f>
        <v>230905701</v>
      </c>
      <c r="E3219" s="10">
        <v>76.64</v>
      </c>
      <c r="F3219" s="10"/>
      <c r="G3219" s="10">
        <v>76</v>
      </c>
      <c r="H3219" s="10"/>
      <c r="I3219" s="10">
        <v>76.260000000000005</v>
      </c>
    </row>
    <row r="3220" spans="1:9" ht="21.75" customHeight="1">
      <c r="A3220" s="8" t="s">
        <v>19</v>
      </c>
      <c r="B3220" s="8" t="s">
        <v>20</v>
      </c>
      <c r="C3220" s="9" t="str">
        <f t="shared" si="74"/>
        <v>230123</v>
      </c>
      <c r="D3220" s="9" t="str">
        <f>"230905630"</f>
        <v>230905630</v>
      </c>
      <c r="E3220" s="10">
        <v>73.87</v>
      </c>
      <c r="F3220" s="10"/>
      <c r="G3220" s="10">
        <v>77.5</v>
      </c>
      <c r="H3220" s="10"/>
      <c r="I3220" s="10">
        <v>76.05</v>
      </c>
    </row>
    <row r="3221" spans="1:9" ht="21.75" customHeight="1">
      <c r="A3221" s="8" t="s">
        <v>19</v>
      </c>
      <c r="B3221" s="8" t="s">
        <v>20</v>
      </c>
      <c r="C3221" s="9" t="str">
        <f t="shared" si="74"/>
        <v>230123</v>
      </c>
      <c r="D3221" s="9" t="str">
        <f>"230905522"</f>
        <v>230905522</v>
      </c>
      <c r="E3221" s="10">
        <v>84.36</v>
      </c>
      <c r="F3221" s="10"/>
      <c r="G3221" s="10">
        <v>70.5</v>
      </c>
      <c r="H3221" s="10"/>
      <c r="I3221" s="10">
        <v>76.040000000000006</v>
      </c>
    </row>
    <row r="3222" spans="1:9" ht="21.75" customHeight="1">
      <c r="A3222" s="8" t="s">
        <v>19</v>
      </c>
      <c r="B3222" s="8" t="s">
        <v>20</v>
      </c>
      <c r="C3222" s="9" t="str">
        <f t="shared" si="74"/>
        <v>230123</v>
      </c>
      <c r="D3222" s="9" t="str">
        <f>"230905509"</f>
        <v>230905509</v>
      </c>
      <c r="E3222" s="10">
        <v>74.56</v>
      </c>
      <c r="F3222" s="10"/>
      <c r="G3222" s="10">
        <v>77</v>
      </c>
      <c r="H3222" s="10"/>
      <c r="I3222" s="10">
        <v>76.02</v>
      </c>
    </row>
    <row r="3223" spans="1:9" ht="21.75" customHeight="1">
      <c r="A3223" s="8" t="s">
        <v>19</v>
      </c>
      <c r="B3223" s="8" t="s">
        <v>20</v>
      </c>
      <c r="C3223" s="9" t="str">
        <f t="shared" si="74"/>
        <v>230123</v>
      </c>
      <c r="D3223" s="9" t="str">
        <f>"230905803"</f>
        <v>230905803</v>
      </c>
      <c r="E3223" s="10">
        <v>77.23</v>
      </c>
      <c r="F3223" s="10"/>
      <c r="G3223" s="10">
        <v>74.5</v>
      </c>
      <c r="H3223" s="10"/>
      <c r="I3223" s="10">
        <v>75.59</v>
      </c>
    </row>
    <row r="3224" spans="1:9" ht="21.75" customHeight="1">
      <c r="A3224" s="8" t="s">
        <v>19</v>
      </c>
      <c r="B3224" s="8" t="s">
        <v>20</v>
      </c>
      <c r="C3224" s="9" t="str">
        <f t="shared" si="74"/>
        <v>230123</v>
      </c>
      <c r="D3224" s="9" t="str">
        <f>"230905811"</f>
        <v>230905811</v>
      </c>
      <c r="E3224" s="10">
        <v>70.319999999999993</v>
      </c>
      <c r="F3224" s="10"/>
      <c r="G3224" s="10">
        <v>79</v>
      </c>
      <c r="H3224" s="10"/>
      <c r="I3224" s="10">
        <v>75.53</v>
      </c>
    </row>
    <row r="3225" spans="1:9" ht="21.75" customHeight="1">
      <c r="A3225" s="8" t="s">
        <v>19</v>
      </c>
      <c r="B3225" s="8" t="s">
        <v>20</v>
      </c>
      <c r="C3225" s="9" t="str">
        <f t="shared" si="74"/>
        <v>230123</v>
      </c>
      <c r="D3225" s="9" t="str">
        <f>"230905422"</f>
        <v>230905422</v>
      </c>
      <c r="E3225" s="10">
        <v>76.2</v>
      </c>
      <c r="F3225" s="10"/>
      <c r="G3225" s="10">
        <v>75</v>
      </c>
      <c r="H3225" s="10"/>
      <c r="I3225" s="10">
        <v>75.48</v>
      </c>
    </row>
    <row r="3226" spans="1:9" ht="21.75" customHeight="1">
      <c r="A3226" s="8" t="s">
        <v>19</v>
      </c>
      <c r="B3226" s="8" t="s">
        <v>20</v>
      </c>
      <c r="C3226" s="9" t="str">
        <f t="shared" si="74"/>
        <v>230123</v>
      </c>
      <c r="D3226" s="9" t="str">
        <f>"230905624"</f>
        <v>230905624</v>
      </c>
      <c r="E3226" s="10">
        <v>78.239999999999995</v>
      </c>
      <c r="F3226" s="10"/>
      <c r="G3226" s="10">
        <v>73.5</v>
      </c>
      <c r="H3226" s="10"/>
      <c r="I3226" s="10">
        <v>75.400000000000006</v>
      </c>
    </row>
    <row r="3227" spans="1:9" ht="21.75" customHeight="1">
      <c r="A3227" s="8" t="s">
        <v>19</v>
      </c>
      <c r="B3227" s="8" t="s">
        <v>20</v>
      </c>
      <c r="C3227" s="9" t="str">
        <f t="shared" si="74"/>
        <v>230123</v>
      </c>
      <c r="D3227" s="9" t="str">
        <f>"230905525"</f>
        <v>230905525</v>
      </c>
      <c r="E3227" s="10">
        <v>74.34</v>
      </c>
      <c r="F3227" s="10"/>
      <c r="G3227" s="10">
        <v>76</v>
      </c>
      <c r="H3227" s="10"/>
      <c r="I3227" s="10">
        <v>75.34</v>
      </c>
    </row>
    <row r="3228" spans="1:9" ht="21.75" customHeight="1">
      <c r="A3228" s="8" t="s">
        <v>19</v>
      </c>
      <c r="B3228" s="8" t="s">
        <v>20</v>
      </c>
      <c r="C3228" s="9" t="str">
        <f t="shared" si="74"/>
        <v>230123</v>
      </c>
      <c r="D3228" s="9" t="str">
        <f>"230905719"</f>
        <v>230905719</v>
      </c>
      <c r="E3228" s="10">
        <v>71.819999999999993</v>
      </c>
      <c r="F3228" s="10"/>
      <c r="G3228" s="10">
        <v>77.5</v>
      </c>
      <c r="H3228" s="10"/>
      <c r="I3228" s="10">
        <v>75.23</v>
      </c>
    </row>
    <row r="3229" spans="1:9" ht="21.75" customHeight="1">
      <c r="A3229" s="8" t="s">
        <v>19</v>
      </c>
      <c r="B3229" s="8" t="s">
        <v>20</v>
      </c>
      <c r="C3229" s="9" t="str">
        <f t="shared" si="74"/>
        <v>230123</v>
      </c>
      <c r="D3229" s="9" t="str">
        <f>"230905329"</f>
        <v>230905329</v>
      </c>
      <c r="E3229" s="10">
        <v>71.790000000000006</v>
      </c>
      <c r="F3229" s="10"/>
      <c r="G3229" s="10">
        <v>77.5</v>
      </c>
      <c r="H3229" s="10"/>
      <c r="I3229" s="10">
        <v>75.22</v>
      </c>
    </row>
    <row r="3230" spans="1:9" s="1" customFormat="1" ht="21.75" customHeight="1">
      <c r="A3230" s="8" t="s">
        <v>19</v>
      </c>
      <c r="B3230" s="8" t="s">
        <v>20</v>
      </c>
      <c r="C3230" s="9" t="str">
        <f t="shared" si="74"/>
        <v>230123</v>
      </c>
      <c r="D3230" s="9" t="str">
        <f>"230905725"</f>
        <v>230905725</v>
      </c>
      <c r="E3230" s="10">
        <v>70.66</v>
      </c>
      <c r="F3230" s="10"/>
      <c r="G3230" s="10">
        <v>78</v>
      </c>
      <c r="H3230" s="10"/>
      <c r="I3230" s="10">
        <v>75.06</v>
      </c>
    </row>
    <row r="3231" spans="1:9" ht="21.75" customHeight="1">
      <c r="A3231" s="8" t="s">
        <v>19</v>
      </c>
      <c r="B3231" s="8" t="s">
        <v>20</v>
      </c>
      <c r="C3231" s="9" t="str">
        <f t="shared" si="74"/>
        <v>230123</v>
      </c>
      <c r="D3231" s="9" t="str">
        <f>"230905524"</f>
        <v>230905524</v>
      </c>
      <c r="E3231" s="10">
        <v>77.33</v>
      </c>
      <c r="F3231" s="10"/>
      <c r="G3231" s="10">
        <v>73.5</v>
      </c>
      <c r="H3231" s="10"/>
      <c r="I3231" s="10">
        <v>75.03</v>
      </c>
    </row>
    <row r="3232" spans="1:9" ht="21.75" customHeight="1">
      <c r="A3232" s="8" t="s">
        <v>19</v>
      </c>
      <c r="B3232" s="8" t="s">
        <v>20</v>
      </c>
      <c r="C3232" s="9" t="str">
        <f t="shared" si="74"/>
        <v>230123</v>
      </c>
      <c r="D3232" s="9" t="str">
        <f>"230905612"</f>
        <v>230905612</v>
      </c>
      <c r="E3232" s="10">
        <v>70.44</v>
      </c>
      <c r="F3232" s="10"/>
      <c r="G3232" s="10">
        <v>78</v>
      </c>
      <c r="H3232" s="10"/>
      <c r="I3232" s="10">
        <v>74.98</v>
      </c>
    </row>
    <row r="3233" spans="1:9" ht="21.75" customHeight="1">
      <c r="A3233" s="8" t="s">
        <v>19</v>
      </c>
      <c r="B3233" s="8" t="s">
        <v>20</v>
      </c>
      <c r="C3233" s="9" t="str">
        <f t="shared" si="74"/>
        <v>230123</v>
      </c>
      <c r="D3233" s="9" t="str">
        <f>"230905330"</f>
        <v>230905330</v>
      </c>
      <c r="E3233" s="10">
        <v>69.97</v>
      </c>
      <c r="F3233" s="10"/>
      <c r="G3233" s="10">
        <v>78</v>
      </c>
      <c r="H3233" s="10"/>
      <c r="I3233" s="10">
        <v>74.790000000000006</v>
      </c>
    </row>
    <row r="3234" spans="1:9" ht="21.75" customHeight="1">
      <c r="A3234" s="8" t="s">
        <v>19</v>
      </c>
      <c r="B3234" s="8" t="s">
        <v>20</v>
      </c>
      <c r="C3234" s="9" t="str">
        <f t="shared" si="74"/>
        <v>230123</v>
      </c>
      <c r="D3234" s="9" t="str">
        <f>"230905424"</f>
        <v>230905424</v>
      </c>
      <c r="E3234" s="10">
        <v>75.72</v>
      </c>
      <c r="F3234" s="10"/>
      <c r="G3234" s="10">
        <v>74</v>
      </c>
      <c r="H3234" s="10"/>
      <c r="I3234" s="10">
        <v>74.69</v>
      </c>
    </row>
    <row r="3235" spans="1:9" ht="21.75" customHeight="1">
      <c r="A3235" s="8" t="s">
        <v>19</v>
      </c>
      <c r="B3235" s="8" t="s">
        <v>20</v>
      </c>
      <c r="C3235" s="9" t="str">
        <f t="shared" si="74"/>
        <v>230123</v>
      </c>
      <c r="D3235" s="9" t="str">
        <f>"230905709"</f>
        <v>230905709</v>
      </c>
      <c r="E3235" s="10">
        <v>68.72</v>
      </c>
      <c r="F3235" s="10"/>
      <c r="G3235" s="10">
        <v>78.5</v>
      </c>
      <c r="H3235" s="10"/>
      <c r="I3235" s="10">
        <v>74.59</v>
      </c>
    </row>
    <row r="3236" spans="1:9" ht="21.75" customHeight="1">
      <c r="A3236" s="8" t="s">
        <v>19</v>
      </c>
      <c r="B3236" s="8" t="s">
        <v>20</v>
      </c>
      <c r="C3236" s="9" t="str">
        <f t="shared" si="74"/>
        <v>230123</v>
      </c>
      <c r="D3236" s="9" t="str">
        <f>"230905530"</f>
        <v>230905530</v>
      </c>
      <c r="E3236" s="10">
        <v>75.84</v>
      </c>
      <c r="F3236" s="10"/>
      <c r="G3236" s="10">
        <v>73.5</v>
      </c>
      <c r="H3236" s="10"/>
      <c r="I3236" s="10">
        <v>74.44</v>
      </c>
    </row>
    <row r="3237" spans="1:9" ht="21.75" customHeight="1">
      <c r="A3237" s="8" t="s">
        <v>19</v>
      </c>
      <c r="B3237" s="8" t="s">
        <v>20</v>
      </c>
      <c r="C3237" s="9" t="str">
        <f t="shared" ref="C3237:C3268" si="75">"230123"</f>
        <v>230123</v>
      </c>
      <c r="D3237" s="9" t="str">
        <f>"230905614"</f>
        <v>230905614</v>
      </c>
      <c r="E3237" s="10">
        <v>76.290000000000006</v>
      </c>
      <c r="F3237" s="10"/>
      <c r="G3237" s="10">
        <v>73</v>
      </c>
      <c r="H3237" s="10"/>
      <c r="I3237" s="10">
        <v>74.319999999999993</v>
      </c>
    </row>
    <row r="3238" spans="1:9" ht="21.75" customHeight="1">
      <c r="A3238" s="8" t="s">
        <v>19</v>
      </c>
      <c r="B3238" s="8" t="s">
        <v>20</v>
      </c>
      <c r="C3238" s="9" t="str">
        <f t="shared" si="75"/>
        <v>230123</v>
      </c>
      <c r="D3238" s="9" t="str">
        <f>"230905518"</f>
        <v>230905518</v>
      </c>
      <c r="E3238" s="10">
        <v>69.400000000000006</v>
      </c>
      <c r="F3238" s="10"/>
      <c r="G3238" s="10">
        <v>77.5</v>
      </c>
      <c r="H3238" s="10"/>
      <c r="I3238" s="10">
        <v>74.260000000000005</v>
      </c>
    </row>
    <row r="3239" spans="1:9" ht="21.75" customHeight="1">
      <c r="A3239" s="8" t="s">
        <v>19</v>
      </c>
      <c r="B3239" s="8" t="s">
        <v>20</v>
      </c>
      <c r="C3239" s="9" t="str">
        <f t="shared" si="75"/>
        <v>230123</v>
      </c>
      <c r="D3239" s="9" t="str">
        <f>"230905720"</f>
        <v>230905720</v>
      </c>
      <c r="E3239" s="10">
        <v>70.900000000000006</v>
      </c>
      <c r="F3239" s="10"/>
      <c r="G3239" s="10">
        <v>76.5</v>
      </c>
      <c r="H3239" s="10"/>
      <c r="I3239" s="10">
        <v>74.260000000000005</v>
      </c>
    </row>
    <row r="3240" spans="1:9" ht="21.75" customHeight="1">
      <c r="A3240" s="8" t="s">
        <v>19</v>
      </c>
      <c r="B3240" s="8" t="s">
        <v>20</v>
      </c>
      <c r="C3240" s="9" t="str">
        <f t="shared" si="75"/>
        <v>230123</v>
      </c>
      <c r="D3240" s="9" t="str">
        <f>"230905428"</f>
        <v>230905428</v>
      </c>
      <c r="E3240" s="10">
        <v>73.08</v>
      </c>
      <c r="F3240" s="10"/>
      <c r="G3240" s="10">
        <v>75</v>
      </c>
      <c r="H3240" s="10"/>
      <c r="I3240" s="10">
        <v>74.23</v>
      </c>
    </row>
    <row r="3241" spans="1:9" ht="21.75" customHeight="1">
      <c r="A3241" s="8" t="s">
        <v>19</v>
      </c>
      <c r="B3241" s="8" t="s">
        <v>20</v>
      </c>
      <c r="C3241" s="9" t="str">
        <f t="shared" si="75"/>
        <v>230123</v>
      </c>
      <c r="D3241" s="9" t="str">
        <f>"230905606"</f>
        <v>230905606</v>
      </c>
      <c r="E3241" s="10">
        <v>72.17</v>
      </c>
      <c r="F3241" s="10"/>
      <c r="G3241" s="10">
        <v>75.5</v>
      </c>
      <c r="H3241" s="10"/>
      <c r="I3241" s="10">
        <v>74.17</v>
      </c>
    </row>
    <row r="3242" spans="1:9" ht="21.75" customHeight="1">
      <c r="A3242" s="8" t="s">
        <v>19</v>
      </c>
      <c r="B3242" s="8" t="s">
        <v>20</v>
      </c>
      <c r="C3242" s="9" t="str">
        <f t="shared" si="75"/>
        <v>230123</v>
      </c>
      <c r="D3242" s="9" t="str">
        <f>"230905322"</f>
        <v>230905322</v>
      </c>
      <c r="E3242" s="10">
        <v>79.75</v>
      </c>
      <c r="F3242" s="10"/>
      <c r="G3242" s="10">
        <v>70</v>
      </c>
      <c r="H3242" s="10"/>
      <c r="I3242" s="10">
        <v>73.900000000000006</v>
      </c>
    </row>
    <row r="3243" spans="1:9" s="1" customFormat="1" ht="21.75" customHeight="1">
      <c r="A3243" s="8" t="s">
        <v>19</v>
      </c>
      <c r="B3243" s="8" t="s">
        <v>20</v>
      </c>
      <c r="C3243" s="9" t="str">
        <f t="shared" si="75"/>
        <v>230123</v>
      </c>
      <c r="D3243" s="9" t="str">
        <f>"230905702"</f>
        <v>230905702</v>
      </c>
      <c r="E3243" s="10">
        <v>75.14</v>
      </c>
      <c r="F3243" s="10"/>
      <c r="G3243" s="10">
        <v>73</v>
      </c>
      <c r="H3243" s="10"/>
      <c r="I3243" s="10">
        <v>73.86</v>
      </c>
    </row>
    <row r="3244" spans="1:9" ht="21.75" customHeight="1">
      <c r="A3244" s="8" t="s">
        <v>19</v>
      </c>
      <c r="B3244" s="8" t="s">
        <v>20</v>
      </c>
      <c r="C3244" s="9" t="str">
        <f t="shared" si="75"/>
        <v>230123</v>
      </c>
      <c r="D3244" s="9" t="str">
        <f>"230905708"</f>
        <v>230905708</v>
      </c>
      <c r="E3244" s="10">
        <v>81.599999999999994</v>
      </c>
      <c r="F3244" s="10"/>
      <c r="G3244" s="10">
        <v>68.5</v>
      </c>
      <c r="H3244" s="10"/>
      <c r="I3244" s="10">
        <v>73.739999999999995</v>
      </c>
    </row>
    <row r="3245" spans="1:9" ht="21.75" customHeight="1">
      <c r="A3245" s="8" t="s">
        <v>19</v>
      </c>
      <c r="B3245" s="8" t="s">
        <v>20</v>
      </c>
      <c r="C3245" s="9" t="str">
        <f t="shared" si="75"/>
        <v>230123</v>
      </c>
      <c r="D3245" s="9" t="str">
        <f>"230905616"</f>
        <v>230905616</v>
      </c>
      <c r="E3245" s="10">
        <v>73.209999999999994</v>
      </c>
      <c r="F3245" s="10"/>
      <c r="G3245" s="10">
        <v>74</v>
      </c>
      <c r="H3245" s="10"/>
      <c r="I3245" s="10">
        <v>73.680000000000007</v>
      </c>
    </row>
    <row r="3246" spans="1:9" ht="21.75" customHeight="1">
      <c r="A3246" s="8" t="s">
        <v>19</v>
      </c>
      <c r="B3246" s="8" t="s">
        <v>20</v>
      </c>
      <c r="C3246" s="9" t="str">
        <f t="shared" si="75"/>
        <v>230123</v>
      </c>
      <c r="D3246" s="9" t="str">
        <f>"230905501"</f>
        <v>230905501</v>
      </c>
      <c r="E3246" s="10">
        <v>67.55</v>
      </c>
      <c r="F3246" s="10"/>
      <c r="G3246" s="10">
        <v>77.5</v>
      </c>
      <c r="H3246" s="10"/>
      <c r="I3246" s="10">
        <v>73.52</v>
      </c>
    </row>
    <row r="3247" spans="1:9" ht="21.75" customHeight="1">
      <c r="A3247" s="8" t="s">
        <v>19</v>
      </c>
      <c r="B3247" s="8" t="s">
        <v>20</v>
      </c>
      <c r="C3247" s="9" t="str">
        <f t="shared" si="75"/>
        <v>230123</v>
      </c>
      <c r="D3247" s="9" t="str">
        <f>"230905408"</f>
        <v>230905408</v>
      </c>
      <c r="E3247" s="10">
        <v>70.430000000000007</v>
      </c>
      <c r="F3247" s="10"/>
      <c r="G3247" s="10">
        <v>75.5</v>
      </c>
      <c r="H3247" s="10"/>
      <c r="I3247" s="10">
        <v>73.47</v>
      </c>
    </row>
    <row r="3248" spans="1:9" ht="21.75" customHeight="1">
      <c r="A3248" s="8" t="s">
        <v>19</v>
      </c>
      <c r="B3248" s="8" t="s">
        <v>20</v>
      </c>
      <c r="C3248" s="9" t="str">
        <f t="shared" si="75"/>
        <v>230123</v>
      </c>
      <c r="D3248" s="9" t="str">
        <f>"230905605"</f>
        <v>230905605</v>
      </c>
      <c r="E3248" s="10">
        <v>78.58</v>
      </c>
      <c r="F3248" s="10"/>
      <c r="G3248" s="10">
        <v>70</v>
      </c>
      <c r="H3248" s="10"/>
      <c r="I3248" s="10">
        <v>73.430000000000007</v>
      </c>
    </row>
    <row r="3249" spans="1:9" ht="21.75" customHeight="1">
      <c r="A3249" s="8" t="s">
        <v>19</v>
      </c>
      <c r="B3249" s="8" t="s">
        <v>20</v>
      </c>
      <c r="C3249" s="9" t="str">
        <f t="shared" si="75"/>
        <v>230123</v>
      </c>
      <c r="D3249" s="9" t="str">
        <f>"230905515"</f>
        <v>230905515</v>
      </c>
      <c r="E3249" s="10">
        <v>73.31</v>
      </c>
      <c r="F3249" s="10"/>
      <c r="G3249" s="10">
        <v>73.5</v>
      </c>
      <c r="H3249" s="10"/>
      <c r="I3249" s="10">
        <v>73.42</v>
      </c>
    </row>
    <row r="3250" spans="1:9" ht="21.75" customHeight="1">
      <c r="A3250" s="8" t="s">
        <v>19</v>
      </c>
      <c r="B3250" s="8" t="s">
        <v>20</v>
      </c>
      <c r="C3250" s="9" t="str">
        <f t="shared" si="75"/>
        <v>230123</v>
      </c>
      <c r="D3250" s="9" t="str">
        <f>"230905626"</f>
        <v>230905626</v>
      </c>
      <c r="E3250" s="10">
        <v>76.3</v>
      </c>
      <c r="F3250" s="10"/>
      <c r="G3250" s="10">
        <v>71.5</v>
      </c>
      <c r="H3250" s="10"/>
      <c r="I3250" s="10">
        <v>73.42</v>
      </c>
    </row>
    <row r="3251" spans="1:9" ht="21.75" customHeight="1">
      <c r="A3251" s="8" t="s">
        <v>19</v>
      </c>
      <c r="B3251" s="8" t="s">
        <v>20</v>
      </c>
      <c r="C3251" s="9" t="str">
        <f t="shared" si="75"/>
        <v>230123</v>
      </c>
      <c r="D3251" s="9" t="str">
        <f>"230905513"</f>
        <v>230905513</v>
      </c>
      <c r="E3251" s="10">
        <v>79.19</v>
      </c>
      <c r="F3251" s="10"/>
      <c r="G3251" s="10">
        <v>69.5</v>
      </c>
      <c r="H3251" s="10"/>
      <c r="I3251" s="10">
        <v>73.38</v>
      </c>
    </row>
    <row r="3252" spans="1:9" ht="21.75" customHeight="1">
      <c r="A3252" s="8" t="s">
        <v>19</v>
      </c>
      <c r="B3252" s="8" t="s">
        <v>20</v>
      </c>
      <c r="C3252" s="9" t="str">
        <f t="shared" si="75"/>
        <v>230123</v>
      </c>
      <c r="D3252" s="9" t="str">
        <f>"230905510"</f>
        <v>230905510</v>
      </c>
      <c r="E3252" s="10">
        <v>79.16</v>
      </c>
      <c r="F3252" s="10"/>
      <c r="G3252" s="10">
        <v>69.5</v>
      </c>
      <c r="H3252" s="10"/>
      <c r="I3252" s="10">
        <v>73.36</v>
      </c>
    </row>
    <row r="3253" spans="1:9" s="1" customFormat="1" ht="21.75" customHeight="1">
      <c r="A3253" s="8" t="s">
        <v>19</v>
      </c>
      <c r="B3253" s="8" t="s">
        <v>20</v>
      </c>
      <c r="C3253" s="9" t="str">
        <f t="shared" si="75"/>
        <v>230123</v>
      </c>
      <c r="D3253" s="9" t="str">
        <f>"230905609"</f>
        <v>230905609</v>
      </c>
      <c r="E3253" s="10">
        <v>72.400000000000006</v>
      </c>
      <c r="F3253" s="10"/>
      <c r="G3253" s="10">
        <v>74</v>
      </c>
      <c r="H3253" s="10"/>
      <c r="I3253" s="10">
        <v>73.36</v>
      </c>
    </row>
    <row r="3254" spans="1:9" ht="21.75" customHeight="1">
      <c r="A3254" s="8" t="s">
        <v>19</v>
      </c>
      <c r="B3254" s="8" t="s">
        <v>20</v>
      </c>
      <c r="C3254" s="9" t="str">
        <f t="shared" si="75"/>
        <v>230123</v>
      </c>
      <c r="D3254" s="9" t="str">
        <f>"230905729"</f>
        <v>230905729</v>
      </c>
      <c r="E3254" s="10">
        <v>72.400000000000006</v>
      </c>
      <c r="F3254" s="10"/>
      <c r="G3254" s="10">
        <v>74</v>
      </c>
      <c r="H3254" s="10"/>
      <c r="I3254" s="10">
        <v>73.36</v>
      </c>
    </row>
    <row r="3255" spans="1:9" ht="21.75" customHeight="1">
      <c r="A3255" s="8" t="s">
        <v>19</v>
      </c>
      <c r="B3255" s="8" t="s">
        <v>20</v>
      </c>
      <c r="C3255" s="9" t="str">
        <f t="shared" si="75"/>
        <v>230123</v>
      </c>
      <c r="D3255" s="9" t="str">
        <f>"230905710"</f>
        <v>230905710</v>
      </c>
      <c r="E3255" s="10">
        <v>75.150000000000006</v>
      </c>
      <c r="F3255" s="10"/>
      <c r="G3255" s="10">
        <v>72</v>
      </c>
      <c r="H3255" s="10"/>
      <c r="I3255" s="10">
        <v>73.260000000000005</v>
      </c>
    </row>
    <row r="3256" spans="1:9" s="1" customFormat="1" ht="21.75" customHeight="1">
      <c r="A3256" s="8" t="s">
        <v>19</v>
      </c>
      <c r="B3256" s="8" t="s">
        <v>20</v>
      </c>
      <c r="C3256" s="9" t="str">
        <f t="shared" si="75"/>
        <v>230123</v>
      </c>
      <c r="D3256" s="9" t="str">
        <f>"230905629"</f>
        <v>230905629</v>
      </c>
      <c r="E3256" s="10">
        <v>65.260000000000005</v>
      </c>
      <c r="F3256" s="10"/>
      <c r="G3256" s="10">
        <v>78.5</v>
      </c>
      <c r="H3256" s="10"/>
      <c r="I3256" s="10">
        <v>73.2</v>
      </c>
    </row>
    <row r="3257" spans="1:9" ht="21.75" customHeight="1">
      <c r="A3257" s="8" t="s">
        <v>19</v>
      </c>
      <c r="B3257" s="8" t="s">
        <v>20</v>
      </c>
      <c r="C3257" s="9" t="str">
        <f t="shared" si="75"/>
        <v>230123</v>
      </c>
      <c r="D3257" s="9" t="str">
        <f>"230905321"</f>
        <v>230905321</v>
      </c>
      <c r="E3257" s="10">
        <v>71.69</v>
      </c>
      <c r="F3257" s="10"/>
      <c r="G3257" s="10">
        <v>74</v>
      </c>
      <c r="H3257" s="10"/>
      <c r="I3257" s="10">
        <v>73.08</v>
      </c>
    </row>
    <row r="3258" spans="1:9" ht="21.75" customHeight="1">
      <c r="A3258" s="8" t="s">
        <v>19</v>
      </c>
      <c r="B3258" s="8" t="s">
        <v>20</v>
      </c>
      <c r="C3258" s="9" t="str">
        <f t="shared" si="75"/>
        <v>230123</v>
      </c>
      <c r="D3258" s="9" t="str">
        <f>"230905514"</f>
        <v>230905514</v>
      </c>
      <c r="E3258" s="10">
        <v>73.2</v>
      </c>
      <c r="F3258" s="10"/>
      <c r="G3258" s="10">
        <v>73</v>
      </c>
      <c r="H3258" s="10"/>
      <c r="I3258" s="10">
        <v>73.08</v>
      </c>
    </row>
    <row r="3259" spans="1:9" ht="21.75" customHeight="1">
      <c r="A3259" s="8" t="s">
        <v>19</v>
      </c>
      <c r="B3259" s="8" t="s">
        <v>20</v>
      </c>
      <c r="C3259" s="9" t="str">
        <f t="shared" si="75"/>
        <v>230123</v>
      </c>
      <c r="D3259" s="9" t="str">
        <f>"230905405"</f>
        <v>230905405</v>
      </c>
      <c r="E3259" s="10">
        <v>74.680000000000007</v>
      </c>
      <c r="F3259" s="10"/>
      <c r="G3259" s="10">
        <v>72</v>
      </c>
      <c r="H3259" s="10"/>
      <c r="I3259" s="10">
        <v>73.069999999999993</v>
      </c>
    </row>
    <row r="3260" spans="1:9" ht="21.75" customHeight="1">
      <c r="A3260" s="8" t="s">
        <v>19</v>
      </c>
      <c r="B3260" s="8" t="s">
        <v>20</v>
      </c>
      <c r="C3260" s="9" t="str">
        <f t="shared" si="75"/>
        <v>230123</v>
      </c>
      <c r="D3260" s="9" t="str">
        <f>"230905529"</f>
        <v>230905529</v>
      </c>
      <c r="E3260" s="10">
        <v>67.900000000000006</v>
      </c>
      <c r="F3260" s="10"/>
      <c r="G3260" s="10">
        <v>76.5</v>
      </c>
      <c r="H3260" s="10"/>
      <c r="I3260" s="10">
        <v>73.06</v>
      </c>
    </row>
    <row r="3261" spans="1:9" ht="21.75" customHeight="1">
      <c r="A3261" s="8" t="s">
        <v>19</v>
      </c>
      <c r="B3261" s="8" t="s">
        <v>20</v>
      </c>
      <c r="C3261" s="9" t="str">
        <f t="shared" si="75"/>
        <v>230123</v>
      </c>
      <c r="D3261" s="9" t="str">
        <f>"230905504"</f>
        <v>230905504</v>
      </c>
      <c r="E3261" s="10">
        <v>72.98</v>
      </c>
      <c r="F3261" s="10"/>
      <c r="G3261" s="10">
        <v>73</v>
      </c>
      <c r="H3261" s="10"/>
      <c r="I3261" s="10">
        <v>72.989999999999995</v>
      </c>
    </row>
    <row r="3262" spans="1:9" s="1" customFormat="1" ht="21.75" customHeight="1">
      <c r="A3262" s="8" t="s">
        <v>19</v>
      </c>
      <c r="B3262" s="8" t="s">
        <v>20</v>
      </c>
      <c r="C3262" s="9" t="str">
        <f t="shared" si="75"/>
        <v>230123</v>
      </c>
      <c r="D3262" s="9" t="str">
        <f>"230905623"</f>
        <v>230905623</v>
      </c>
      <c r="E3262" s="10">
        <v>63.98</v>
      </c>
      <c r="F3262" s="10"/>
      <c r="G3262" s="10">
        <v>79</v>
      </c>
      <c r="H3262" s="10"/>
      <c r="I3262" s="10">
        <v>72.989999999999995</v>
      </c>
    </row>
    <row r="3263" spans="1:9" s="1" customFormat="1" ht="21.75" customHeight="1">
      <c r="A3263" s="8" t="s">
        <v>19</v>
      </c>
      <c r="B3263" s="8" t="s">
        <v>20</v>
      </c>
      <c r="C3263" s="9" t="str">
        <f t="shared" si="75"/>
        <v>230123</v>
      </c>
      <c r="D3263" s="9" t="str">
        <f>"230905805"</f>
        <v>230905805</v>
      </c>
      <c r="E3263" s="10">
        <v>69.06</v>
      </c>
      <c r="F3263" s="10"/>
      <c r="G3263" s="10">
        <v>75.5</v>
      </c>
      <c r="H3263" s="10"/>
      <c r="I3263" s="10">
        <v>72.92</v>
      </c>
    </row>
    <row r="3264" spans="1:9" ht="21.75" customHeight="1">
      <c r="A3264" s="8" t="s">
        <v>19</v>
      </c>
      <c r="B3264" s="8" t="s">
        <v>20</v>
      </c>
      <c r="C3264" s="9" t="str">
        <f t="shared" si="75"/>
        <v>230123</v>
      </c>
      <c r="D3264" s="9" t="str">
        <f>"230905528"</f>
        <v>230905528</v>
      </c>
      <c r="E3264" s="10">
        <v>73.42</v>
      </c>
      <c r="F3264" s="10"/>
      <c r="G3264" s="10">
        <v>72.5</v>
      </c>
      <c r="H3264" s="10"/>
      <c r="I3264" s="10">
        <v>72.87</v>
      </c>
    </row>
    <row r="3265" spans="1:9" ht="21.75" customHeight="1">
      <c r="A3265" s="8" t="s">
        <v>19</v>
      </c>
      <c r="B3265" s="8" t="s">
        <v>20</v>
      </c>
      <c r="C3265" s="9" t="str">
        <f t="shared" si="75"/>
        <v>230123</v>
      </c>
      <c r="D3265" s="9" t="str">
        <f>"230905523"</f>
        <v>230905523</v>
      </c>
      <c r="E3265" s="10">
        <v>74</v>
      </c>
      <c r="F3265" s="10"/>
      <c r="G3265" s="10">
        <v>72</v>
      </c>
      <c r="H3265" s="10"/>
      <c r="I3265" s="10">
        <v>72.8</v>
      </c>
    </row>
    <row r="3266" spans="1:9" s="1" customFormat="1" ht="21.75" customHeight="1">
      <c r="A3266" s="8" t="s">
        <v>19</v>
      </c>
      <c r="B3266" s="8" t="s">
        <v>20</v>
      </c>
      <c r="C3266" s="9" t="str">
        <f t="shared" si="75"/>
        <v>230123</v>
      </c>
      <c r="D3266" s="9" t="str">
        <f>"230905804"</f>
        <v>230905804</v>
      </c>
      <c r="E3266" s="10">
        <v>74.34</v>
      </c>
      <c r="F3266" s="10"/>
      <c r="G3266" s="10">
        <v>71.5</v>
      </c>
      <c r="H3266" s="10"/>
      <c r="I3266" s="10">
        <v>72.64</v>
      </c>
    </row>
    <row r="3267" spans="1:9" s="1" customFormat="1" ht="21.75" customHeight="1">
      <c r="A3267" s="8" t="s">
        <v>19</v>
      </c>
      <c r="B3267" s="8" t="s">
        <v>20</v>
      </c>
      <c r="C3267" s="9" t="str">
        <f t="shared" si="75"/>
        <v>230123</v>
      </c>
      <c r="D3267" s="9" t="str">
        <f>"230905723"</f>
        <v>230905723</v>
      </c>
      <c r="E3267" s="10">
        <v>70.55</v>
      </c>
      <c r="F3267" s="10"/>
      <c r="G3267" s="10">
        <v>74</v>
      </c>
      <c r="H3267" s="10"/>
      <c r="I3267" s="10">
        <v>72.62</v>
      </c>
    </row>
    <row r="3268" spans="1:9" s="1" customFormat="1" ht="21.75" customHeight="1">
      <c r="A3268" s="8" t="s">
        <v>19</v>
      </c>
      <c r="B3268" s="8" t="s">
        <v>20</v>
      </c>
      <c r="C3268" s="9" t="str">
        <f t="shared" si="75"/>
        <v>230123</v>
      </c>
      <c r="D3268" s="9" t="str">
        <f>"230905407"</f>
        <v>230905407</v>
      </c>
      <c r="E3268" s="10">
        <v>73.31</v>
      </c>
      <c r="F3268" s="10"/>
      <c r="G3268" s="10">
        <v>72</v>
      </c>
      <c r="H3268" s="10"/>
      <c r="I3268" s="10">
        <v>72.52</v>
      </c>
    </row>
    <row r="3269" spans="1:9" ht="21.75" customHeight="1">
      <c r="A3269" s="8" t="s">
        <v>19</v>
      </c>
      <c r="B3269" s="8" t="s">
        <v>20</v>
      </c>
      <c r="C3269" s="9" t="str">
        <f t="shared" ref="C3269:C3300" si="76">"230123"</f>
        <v>230123</v>
      </c>
      <c r="D3269" s="9" t="str">
        <f>"230905808"</f>
        <v>230905808</v>
      </c>
      <c r="E3269" s="10">
        <v>71.459999999999994</v>
      </c>
      <c r="F3269" s="10"/>
      <c r="G3269" s="10">
        <v>73</v>
      </c>
      <c r="H3269" s="10"/>
      <c r="I3269" s="10">
        <v>72.38</v>
      </c>
    </row>
    <row r="3270" spans="1:9" s="1" customFormat="1" ht="21.75" customHeight="1">
      <c r="A3270" s="8" t="s">
        <v>19</v>
      </c>
      <c r="B3270" s="8" t="s">
        <v>20</v>
      </c>
      <c r="C3270" s="9" t="str">
        <f t="shared" si="76"/>
        <v>230123</v>
      </c>
      <c r="D3270" s="9" t="str">
        <f>"230905507"</f>
        <v>230905507</v>
      </c>
      <c r="E3270" s="10">
        <v>68.36</v>
      </c>
      <c r="F3270" s="10"/>
      <c r="G3270" s="10">
        <v>75</v>
      </c>
      <c r="H3270" s="10"/>
      <c r="I3270" s="10">
        <v>72.34</v>
      </c>
    </row>
    <row r="3271" spans="1:9" ht="21.75" customHeight="1">
      <c r="A3271" s="8" t="s">
        <v>19</v>
      </c>
      <c r="B3271" s="8" t="s">
        <v>20</v>
      </c>
      <c r="C3271" s="9" t="str">
        <f t="shared" si="76"/>
        <v>230123</v>
      </c>
      <c r="D3271" s="9" t="str">
        <f>"230905417"</f>
        <v>230905417</v>
      </c>
      <c r="E3271" s="10">
        <v>77.91</v>
      </c>
      <c r="F3271" s="10"/>
      <c r="G3271" s="10">
        <v>68.5</v>
      </c>
      <c r="H3271" s="10"/>
      <c r="I3271" s="10">
        <v>72.260000000000005</v>
      </c>
    </row>
    <row r="3272" spans="1:9" ht="21.75" customHeight="1">
      <c r="A3272" s="8" t="s">
        <v>19</v>
      </c>
      <c r="B3272" s="8" t="s">
        <v>20</v>
      </c>
      <c r="C3272" s="9" t="str">
        <f t="shared" si="76"/>
        <v>230123</v>
      </c>
      <c r="D3272" s="9" t="str">
        <f>"230905602"</f>
        <v>230905602</v>
      </c>
      <c r="E3272" s="10">
        <v>68.599999999999994</v>
      </c>
      <c r="F3272" s="10"/>
      <c r="G3272" s="10">
        <v>74.5</v>
      </c>
      <c r="H3272" s="10"/>
      <c r="I3272" s="10">
        <v>72.14</v>
      </c>
    </row>
    <row r="3273" spans="1:9" ht="21.75" customHeight="1">
      <c r="A3273" s="8" t="s">
        <v>19</v>
      </c>
      <c r="B3273" s="8" t="s">
        <v>20</v>
      </c>
      <c r="C3273" s="9" t="str">
        <f t="shared" si="76"/>
        <v>230123</v>
      </c>
      <c r="D3273" s="9" t="str">
        <f>"230905406"</f>
        <v>230905406</v>
      </c>
      <c r="E3273" s="10">
        <v>60.88</v>
      </c>
      <c r="F3273" s="10"/>
      <c r="G3273" s="10">
        <v>79.5</v>
      </c>
      <c r="H3273" s="10"/>
      <c r="I3273" s="10">
        <v>72.05</v>
      </c>
    </row>
    <row r="3274" spans="1:9" s="1" customFormat="1" ht="21.75" customHeight="1">
      <c r="A3274" s="8" t="s">
        <v>19</v>
      </c>
      <c r="B3274" s="8" t="s">
        <v>20</v>
      </c>
      <c r="C3274" s="9" t="str">
        <f t="shared" si="76"/>
        <v>230123</v>
      </c>
      <c r="D3274" s="9" t="str">
        <f>"230905416"</f>
        <v>230905416</v>
      </c>
      <c r="E3274" s="10">
        <v>66.650000000000006</v>
      </c>
      <c r="F3274" s="10"/>
      <c r="G3274" s="10">
        <v>75.5</v>
      </c>
      <c r="H3274" s="10"/>
      <c r="I3274" s="10">
        <v>71.959999999999994</v>
      </c>
    </row>
    <row r="3275" spans="1:9" ht="21.75" customHeight="1">
      <c r="A3275" s="8" t="s">
        <v>19</v>
      </c>
      <c r="B3275" s="8" t="s">
        <v>20</v>
      </c>
      <c r="C3275" s="9" t="str">
        <f t="shared" si="76"/>
        <v>230123</v>
      </c>
      <c r="D3275" s="9" t="str">
        <f>"230905430"</f>
        <v>230905430</v>
      </c>
      <c r="E3275" s="10">
        <v>78.47</v>
      </c>
      <c r="F3275" s="10"/>
      <c r="G3275" s="10">
        <v>67.5</v>
      </c>
      <c r="H3275" s="10"/>
      <c r="I3275" s="10">
        <v>71.89</v>
      </c>
    </row>
    <row r="3276" spans="1:9" s="1" customFormat="1" ht="21.75" customHeight="1">
      <c r="A3276" s="8" t="s">
        <v>19</v>
      </c>
      <c r="B3276" s="8" t="s">
        <v>20</v>
      </c>
      <c r="C3276" s="9" t="str">
        <f t="shared" si="76"/>
        <v>230123</v>
      </c>
      <c r="D3276" s="9" t="str">
        <f>"230905619"</f>
        <v>230905619</v>
      </c>
      <c r="E3276" s="10">
        <v>76.19</v>
      </c>
      <c r="F3276" s="10"/>
      <c r="G3276" s="10">
        <v>69</v>
      </c>
      <c r="H3276" s="10"/>
      <c r="I3276" s="10">
        <v>71.88</v>
      </c>
    </row>
    <row r="3277" spans="1:9" ht="21.75" customHeight="1">
      <c r="A3277" s="8" t="s">
        <v>19</v>
      </c>
      <c r="B3277" s="8" t="s">
        <v>20</v>
      </c>
      <c r="C3277" s="9" t="str">
        <f t="shared" si="76"/>
        <v>230123</v>
      </c>
      <c r="D3277" s="9" t="str">
        <f>"230905724"</f>
        <v>230905724</v>
      </c>
      <c r="E3277" s="10">
        <v>73.31</v>
      </c>
      <c r="F3277" s="10"/>
      <c r="G3277" s="10">
        <v>70.5</v>
      </c>
      <c r="H3277" s="10"/>
      <c r="I3277" s="10">
        <v>71.62</v>
      </c>
    </row>
    <row r="3278" spans="1:9" s="1" customFormat="1" ht="21.75" customHeight="1">
      <c r="A3278" s="8" t="s">
        <v>19</v>
      </c>
      <c r="B3278" s="8" t="s">
        <v>20</v>
      </c>
      <c r="C3278" s="9" t="str">
        <f t="shared" si="76"/>
        <v>230123</v>
      </c>
      <c r="D3278" s="9" t="str">
        <f>"230905326"</f>
        <v>230905326</v>
      </c>
      <c r="E3278" s="10">
        <v>69.41</v>
      </c>
      <c r="F3278" s="10"/>
      <c r="G3278" s="10">
        <v>73</v>
      </c>
      <c r="H3278" s="10"/>
      <c r="I3278" s="10">
        <v>71.56</v>
      </c>
    </row>
    <row r="3279" spans="1:9" ht="21.75" customHeight="1">
      <c r="A3279" s="8" t="s">
        <v>19</v>
      </c>
      <c r="B3279" s="8" t="s">
        <v>20</v>
      </c>
      <c r="C3279" s="9" t="str">
        <f t="shared" si="76"/>
        <v>230123</v>
      </c>
      <c r="D3279" s="9" t="str">
        <f>"230905608"</f>
        <v>230905608</v>
      </c>
      <c r="E3279" s="10">
        <v>73.099999999999994</v>
      </c>
      <c r="F3279" s="10"/>
      <c r="G3279" s="10">
        <v>70.5</v>
      </c>
      <c r="H3279" s="10"/>
      <c r="I3279" s="10">
        <v>71.540000000000006</v>
      </c>
    </row>
    <row r="3280" spans="1:9" s="1" customFormat="1" ht="21.75" customHeight="1">
      <c r="A3280" s="8" t="s">
        <v>19</v>
      </c>
      <c r="B3280" s="8" t="s">
        <v>20</v>
      </c>
      <c r="C3280" s="9" t="str">
        <f t="shared" si="76"/>
        <v>230123</v>
      </c>
      <c r="D3280" s="9" t="str">
        <f>"230905621"</f>
        <v>230905621</v>
      </c>
      <c r="E3280" s="10">
        <v>70.760000000000005</v>
      </c>
      <c r="F3280" s="10"/>
      <c r="G3280" s="10">
        <v>72</v>
      </c>
      <c r="H3280" s="10"/>
      <c r="I3280" s="10">
        <v>71.5</v>
      </c>
    </row>
    <row r="3281" spans="1:9" s="1" customFormat="1" ht="21.75" customHeight="1">
      <c r="A3281" s="8" t="s">
        <v>19</v>
      </c>
      <c r="B3281" s="8" t="s">
        <v>20</v>
      </c>
      <c r="C3281" s="9" t="str">
        <f t="shared" si="76"/>
        <v>230123</v>
      </c>
      <c r="D3281" s="9" t="str">
        <f>"230905502"</f>
        <v>230905502</v>
      </c>
      <c r="E3281" s="10">
        <v>69.959999999999994</v>
      </c>
      <c r="F3281" s="10"/>
      <c r="G3281" s="10">
        <v>72</v>
      </c>
      <c r="H3281" s="10"/>
      <c r="I3281" s="10">
        <v>71.180000000000007</v>
      </c>
    </row>
    <row r="3282" spans="1:9" ht="21.75" customHeight="1">
      <c r="A3282" s="8" t="s">
        <v>19</v>
      </c>
      <c r="B3282" s="8" t="s">
        <v>20</v>
      </c>
      <c r="C3282" s="9" t="str">
        <f t="shared" si="76"/>
        <v>230123</v>
      </c>
      <c r="D3282" s="9" t="str">
        <f>"230905403"</f>
        <v>230905403</v>
      </c>
      <c r="E3282" s="10">
        <v>75.84</v>
      </c>
      <c r="F3282" s="10"/>
      <c r="G3282" s="10">
        <v>68</v>
      </c>
      <c r="H3282" s="10"/>
      <c r="I3282" s="10">
        <v>71.14</v>
      </c>
    </row>
    <row r="3283" spans="1:9" ht="21.75" customHeight="1">
      <c r="A3283" s="8" t="s">
        <v>19</v>
      </c>
      <c r="B3283" s="8" t="s">
        <v>20</v>
      </c>
      <c r="C3283" s="9" t="str">
        <f t="shared" si="76"/>
        <v>230123</v>
      </c>
      <c r="D3283" s="9" t="str">
        <f>"230905503"</f>
        <v>230905503</v>
      </c>
      <c r="E3283" s="10">
        <v>68.14</v>
      </c>
      <c r="F3283" s="10"/>
      <c r="G3283" s="10">
        <v>73</v>
      </c>
      <c r="H3283" s="10"/>
      <c r="I3283" s="10">
        <v>71.06</v>
      </c>
    </row>
    <row r="3284" spans="1:9" ht="21.75" customHeight="1">
      <c r="A3284" s="8" t="s">
        <v>19</v>
      </c>
      <c r="B3284" s="8" t="s">
        <v>20</v>
      </c>
      <c r="C3284" s="9" t="str">
        <f t="shared" si="76"/>
        <v>230123</v>
      </c>
      <c r="D3284" s="9" t="str">
        <f>"230905419"</f>
        <v>230905419</v>
      </c>
      <c r="E3284" s="10">
        <v>76.989999999999995</v>
      </c>
      <c r="F3284" s="10"/>
      <c r="G3284" s="10">
        <v>67</v>
      </c>
      <c r="H3284" s="10"/>
      <c r="I3284" s="10">
        <v>71</v>
      </c>
    </row>
    <row r="3285" spans="1:9" ht="21.75" customHeight="1">
      <c r="A3285" s="8" t="s">
        <v>19</v>
      </c>
      <c r="B3285" s="8" t="s">
        <v>20</v>
      </c>
      <c r="C3285" s="9" t="str">
        <f t="shared" si="76"/>
        <v>230123</v>
      </c>
      <c r="D3285" s="9" t="str">
        <f>"230905601"</f>
        <v>230905601</v>
      </c>
      <c r="E3285" s="10">
        <v>73.900000000000006</v>
      </c>
      <c r="F3285" s="10"/>
      <c r="G3285" s="10">
        <v>69</v>
      </c>
      <c r="H3285" s="10"/>
      <c r="I3285" s="10">
        <v>70.959999999999994</v>
      </c>
    </row>
    <row r="3286" spans="1:9" ht="21.75" customHeight="1">
      <c r="A3286" s="8" t="s">
        <v>19</v>
      </c>
      <c r="B3286" s="8" t="s">
        <v>20</v>
      </c>
      <c r="C3286" s="9" t="str">
        <f t="shared" si="76"/>
        <v>230123</v>
      </c>
      <c r="D3286" s="9" t="str">
        <f>"230905628"</f>
        <v>230905628</v>
      </c>
      <c r="E3286" s="10">
        <v>77.34</v>
      </c>
      <c r="F3286" s="10"/>
      <c r="G3286" s="10">
        <v>66.5</v>
      </c>
      <c r="H3286" s="10"/>
      <c r="I3286" s="10">
        <v>70.84</v>
      </c>
    </row>
    <row r="3287" spans="1:9" ht="21.75" customHeight="1">
      <c r="A3287" s="8" t="s">
        <v>19</v>
      </c>
      <c r="B3287" s="8" t="s">
        <v>20</v>
      </c>
      <c r="C3287" s="9" t="str">
        <f t="shared" si="76"/>
        <v>230123</v>
      </c>
      <c r="D3287" s="9" t="str">
        <f>"230905402"</f>
        <v>230905402</v>
      </c>
      <c r="E3287" s="10">
        <v>68.02</v>
      </c>
      <c r="F3287" s="10"/>
      <c r="G3287" s="10">
        <v>72.5</v>
      </c>
      <c r="H3287" s="10"/>
      <c r="I3287" s="10">
        <v>70.709999999999994</v>
      </c>
    </row>
    <row r="3288" spans="1:9" ht="21.75" customHeight="1">
      <c r="A3288" s="8" t="s">
        <v>19</v>
      </c>
      <c r="B3288" s="8" t="s">
        <v>20</v>
      </c>
      <c r="C3288" s="9" t="str">
        <f t="shared" si="76"/>
        <v>230123</v>
      </c>
      <c r="D3288" s="9" t="str">
        <f>"230905715"</f>
        <v>230905715</v>
      </c>
      <c r="E3288" s="10">
        <v>66.41</v>
      </c>
      <c r="F3288" s="10"/>
      <c r="G3288" s="10">
        <v>73.5</v>
      </c>
      <c r="H3288" s="10"/>
      <c r="I3288" s="10">
        <v>70.66</v>
      </c>
    </row>
    <row r="3289" spans="1:9" ht="21.75" customHeight="1">
      <c r="A3289" s="8" t="s">
        <v>19</v>
      </c>
      <c r="B3289" s="8" t="s">
        <v>20</v>
      </c>
      <c r="C3289" s="9" t="str">
        <f t="shared" si="76"/>
        <v>230123</v>
      </c>
      <c r="D3289" s="9" t="str">
        <f>"230905713"</f>
        <v>230905713</v>
      </c>
      <c r="E3289" s="10">
        <v>70.099999999999994</v>
      </c>
      <c r="F3289" s="10"/>
      <c r="G3289" s="10">
        <v>71</v>
      </c>
      <c r="H3289" s="10"/>
      <c r="I3289" s="10">
        <v>70.64</v>
      </c>
    </row>
    <row r="3290" spans="1:9" s="1" customFormat="1" ht="21.75" customHeight="1">
      <c r="A3290" s="8" t="s">
        <v>19</v>
      </c>
      <c r="B3290" s="8" t="s">
        <v>20</v>
      </c>
      <c r="C3290" s="9" t="str">
        <f t="shared" si="76"/>
        <v>230123</v>
      </c>
      <c r="D3290" s="9" t="str">
        <f>"230905413"</f>
        <v>230905413</v>
      </c>
      <c r="E3290" s="10">
        <v>68.47</v>
      </c>
      <c r="F3290" s="10"/>
      <c r="G3290" s="10">
        <v>72</v>
      </c>
      <c r="H3290" s="10"/>
      <c r="I3290" s="10">
        <v>70.59</v>
      </c>
    </row>
    <row r="3291" spans="1:9" s="1" customFormat="1" ht="21.75" customHeight="1">
      <c r="A3291" s="8" t="s">
        <v>19</v>
      </c>
      <c r="B3291" s="8" t="s">
        <v>20</v>
      </c>
      <c r="C3291" s="9" t="str">
        <f t="shared" si="76"/>
        <v>230123</v>
      </c>
      <c r="D3291" s="9" t="str">
        <f>"230905711"</f>
        <v>230905711</v>
      </c>
      <c r="E3291" s="10">
        <v>66.41</v>
      </c>
      <c r="F3291" s="10"/>
      <c r="G3291" s="10">
        <v>73</v>
      </c>
      <c r="H3291" s="10"/>
      <c r="I3291" s="10">
        <v>70.36</v>
      </c>
    </row>
    <row r="3292" spans="1:9" ht="21.75" customHeight="1">
      <c r="A3292" s="8" t="s">
        <v>19</v>
      </c>
      <c r="B3292" s="8" t="s">
        <v>20</v>
      </c>
      <c r="C3292" s="9" t="str">
        <f t="shared" si="76"/>
        <v>230123</v>
      </c>
      <c r="D3292" s="9" t="str">
        <f>"230905323"</f>
        <v>230905323</v>
      </c>
      <c r="E3292" s="10">
        <v>66.87</v>
      </c>
      <c r="F3292" s="10"/>
      <c r="G3292" s="10">
        <v>72.5</v>
      </c>
      <c r="H3292" s="10"/>
      <c r="I3292" s="10">
        <v>70.25</v>
      </c>
    </row>
    <row r="3293" spans="1:9" ht="21.75" customHeight="1">
      <c r="A3293" s="8" t="s">
        <v>19</v>
      </c>
      <c r="B3293" s="8" t="s">
        <v>20</v>
      </c>
      <c r="C3293" s="9" t="str">
        <f t="shared" si="76"/>
        <v>230123</v>
      </c>
      <c r="D3293" s="9" t="str">
        <f>"230905620"</f>
        <v>230905620</v>
      </c>
      <c r="E3293" s="10">
        <v>69.61</v>
      </c>
      <c r="F3293" s="10"/>
      <c r="G3293" s="10">
        <v>70.5</v>
      </c>
      <c r="H3293" s="10"/>
      <c r="I3293" s="10">
        <v>70.14</v>
      </c>
    </row>
    <row r="3294" spans="1:9" ht="21.75" customHeight="1">
      <c r="A3294" s="8" t="s">
        <v>19</v>
      </c>
      <c r="B3294" s="8" t="s">
        <v>20</v>
      </c>
      <c r="C3294" s="9" t="str">
        <f t="shared" si="76"/>
        <v>230123</v>
      </c>
      <c r="D3294" s="9" t="str">
        <f>"230905505"</f>
        <v>230905505</v>
      </c>
      <c r="E3294" s="10">
        <v>64.930000000000007</v>
      </c>
      <c r="F3294" s="10"/>
      <c r="G3294" s="10">
        <v>73.5</v>
      </c>
      <c r="H3294" s="10"/>
      <c r="I3294" s="10">
        <v>70.069999999999993</v>
      </c>
    </row>
    <row r="3295" spans="1:9" ht="21.75" customHeight="1">
      <c r="A3295" s="8" t="s">
        <v>19</v>
      </c>
      <c r="B3295" s="8" t="s">
        <v>20</v>
      </c>
      <c r="C3295" s="9" t="str">
        <f t="shared" si="76"/>
        <v>230123</v>
      </c>
      <c r="D3295" s="9" t="str">
        <f>"230905807"</f>
        <v>230905807</v>
      </c>
      <c r="E3295" s="10">
        <v>69.97</v>
      </c>
      <c r="F3295" s="10"/>
      <c r="G3295" s="10">
        <v>70</v>
      </c>
      <c r="H3295" s="10"/>
      <c r="I3295" s="10">
        <v>69.989999999999995</v>
      </c>
    </row>
    <row r="3296" spans="1:9" ht="21.75" customHeight="1">
      <c r="A3296" s="8" t="s">
        <v>19</v>
      </c>
      <c r="B3296" s="8" t="s">
        <v>20</v>
      </c>
      <c r="C3296" s="9" t="str">
        <f t="shared" si="76"/>
        <v>230123</v>
      </c>
      <c r="D3296" s="9" t="str">
        <f>"230905802"</f>
        <v>230905802</v>
      </c>
      <c r="E3296" s="10">
        <v>69.400000000000006</v>
      </c>
      <c r="F3296" s="10"/>
      <c r="G3296" s="10">
        <v>69.5</v>
      </c>
      <c r="H3296" s="10"/>
      <c r="I3296" s="10">
        <v>69.459999999999994</v>
      </c>
    </row>
    <row r="3297" spans="1:9" s="1" customFormat="1" ht="21.75" customHeight="1">
      <c r="A3297" s="8" t="s">
        <v>19</v>
      </c>
      <c r="B3297" s="8" t="s">
        <v>20</v>
      </c>
      <c r="C3297" s="9" t="str">
        <f t="shared" si="76"/>
        <v>230123</v>
      </c>
      <c r="D3297" s="9" t="str">
        <f>"230905401"</f>
        <v>230905401</v>
      </c>
      <c r="E3297" s="10">
        <v>63.31</v>
      </c>
      <c r="F3297" s="10"/>
      <c r="G3297" s="10">
        <v>73</v>
      </c>
      <c r="H3297" s="10"/>
      <c r="I3297" s="10">
        <v>69.12</v>
      </c>
    </row>
    <row r="3298" spans="1:9" s="1" customFormat="1" ht="21.75" customHeight="1">
      <c r="A3298" s="8" t="s">
        <v>19</v>
      </c>
      <c r="B3298" s="8" t="s">
        <v>20</v>
      </c>
      <c r="C3298" s="9" t="str">
        <f t="shared" si="76"/>
        <v>230123</v>
      </c>
      <c r="D3298" s="9" t="str">
        <f>"230905721"</f>
        <v>230905721</v>
      </c>
      <c r="E3298" s="10">
        <v>67.34</v>
      </c>
      <c r="F3298" s="10"/>
      <c r="G3298" s="10">
        <v>70</v>
      </c>
      <c r="H3298" s="10"/>
      <c r="I3298" s="10">
        <v>68.94</v>
      </c>
    </row>
    <row r="3299" spans="1:9" ht="21.75" customHeight="1">
      <c r="A3299" s="8" t="s">
        <v>19</v>
      </c>
      <c r="B3299" s="8" t="s">
        <v>20</v>
      </c>
      <c r="C3299" s="9" t="str">
        <f t="shared" si="76"/>
        <v>230123</v>
      </c>
      <c r="D3299" s="9" t="str">
        <f>"230905627"</f>
        <v>230905627</v>
      </c>
      <c r="E3299" s="10">
        <v>71.02</v>
      </c>
      <c r="F3299" s="10"/>
      <c r="G3299" s="10">
        <v>67.5</v>
      </c>
      <c r="H3299" s="10"/>
      <c r="I3299" s="10">
        <v>68.91</v>
      </c>
    </row>
    <row r="3300" spans="1:9" ht="21.75" customHeight="1">
      <c r="A3300" s="8" t="s">
        <v>19</v>
      </c>
      <c r="B3300" s="8" t="s">
        <v>20</v>
      </c>
      <c r="C3300" s="9" t="str">
        <f t="shared" si="76"/>
        <v>230123</v>
      </c>
      <c r="D3300" s="9" t="str">
        <f>"230905527"</f>
        <v>230905527</v>
      </c>
      <c r="E3300" s="10">
        <v>75.27</v>
      </c>
      <c r="F3300" s="10"/>
      <c r="G3300" s="10">
        <v>64</v>
      </c>
      <c r="H3300" s="10"/>
      <c r="I3300" s="10">
        <v>68.510000000000005</v>
      </c>
    </row>
    <row r="3301" spans="1:9" s="1" customFormat="1" ht="21.75" customHeight="1">
      <c r="A3301" s="8" t="s">
        <v>19</v>
      </c>
      <c r="B3301" s="8" t="s">
        <v>20</v>
      </c>
      <c r="C3301" s="9" t="str">
        <f t="shared" ref="C3301:C3332" si="77">"230123"</f>
        <v>230123</v>
      </c>
      <c r="D3301" s="9" t="str">
        <f>"230905521"</f>
        <v>230905521</v>
      </c>
      <c r="E3301" s="10">
        <v>68.48</v>
      </c>
      <c r="F3301" s="10"/>
      <c r="G3301" s="10">
        <v>68.5</v>
      </c>
      <c r="H3301" s="10"/>
      <c r="I3301" s="10">
        <v>68.489999999999995</v>
      </c>
    </row>
    <row r="3302" spans="1:9" ht="21.75" customHeight="1">
      <c r="A3302" s="8" t="s">
        <v>19</v>
      </c>
      <c r="B3302" s="8" t="s">
        <v>20</v>
      </c>
      <c r="C3302" s="9" t="str">
        <f t="shared" si="77"/>
        <v>230123</v>
      </c>
      <c r="D3302" s="9" t="str">
        <f>"230905809"</f>
        <v>230905809</v>
      </c>
      <c r="E3302" s="10">
        <v>66.63</v>
      </c>
      <c r="F3302" s="10"/>
      <c r="G3302" s="10">
        <v>69</v>
      </c>
      <c r="H3302" s="10"/>
      <c r="I3302" s="10">
        <v>68.05</v>
      </c>
    </row>
    <row r="3303" spans="1:9" s="1" customFormat="1" ht="21.75" customHeight="1">
      <c r="A3303" s="8" t="s">
        <v>19</v>
      </c>
      <c r="B3303" s="8" t="s">
        <v>20</v>
      </c>
      <c r="C3303" s="9" t="str">
        <f t="shared" si="77"/>
        <v>230123</v>
      </c>
      <c r="D3303" s="9" t="str">
        <f>"230905810"</f>
        <v>230905810</v>
      </c>
      <c r="E3303" s="10">
        <v>59.86</v>
      </c>
      <c r="F3303" s="10"/>
      <c r="G3303" s="10">
        <v>73</v>
      </c>
      <c r="H3303" s="10"/>
      <c r="I3303" s="10">
        <v>67.739999999999995</v>
      </c>
    </row>
    <row r="3304" spans="1:9" s="1" customFormat="1" ht="21.75" customHeight="1">
      <c r="A3304" s="8" t="s">
        <v>19</v>
      </c>
      <c r="B3304" s="8" t="s">
        <v>20</v>
      </c>
      <c r="C3304" s="9" t="str">
        <f t="shared" si="77"/>
        <v>230123</v>
      </c>
      <c r="D3304" s="9" t="str">
        <f>"230905508"</f>
        <v>230905508</v>
      </c>
      <c r="E3304" s="10">
        <v>71.930000000000007</v>
      </c>
      <c r="F3304" s="10"/>
      <c r="G3304" s="10">
        <v>63.5</v>
      </c>
      <c r="H3304" s="10"/>
      <c r="I3304" s="10">
        <v>66.87</v>
      </c>
    </row>
    <row r="3305" spans="1:9" ht="21.75" customHeight="1">
      <c r="A3305" s="8" t="s">
        <v>19</v>
      </c>
      <c r="B3305" s="8" t="s">
        <v>20</v>
      </c>
      <c r="C3305" s="9" t="str">
        <f t="shared" si="77"/>
        <v>230123</v>
      </c>
      <c r="D3305" s="9" t="str">
        <f>"230905327"</f>
        <v>230905327</v>
      </c>
      <c r="E3305" s="10">
        <v>69.650000000000006</v>
      </c>
      <c r="F3305" s="10"/>
      <c r="G3305" s="10">
        <v>65</v>
      </c>
      <c r="H3305" s="10"/>
      <c r="I3305" s="10">
        <v>66.86</v>
      </c>
    </row>
    <row r="3306" spans="1:9" ht="21.75" customHeight="1">
      <c r="A3306" s="8" t="s">
        <v>19</v>
      </c>
      <c r="B3306" s="8" t="s">
        <v>20</v>
      </c>
      <c r="C3306" s="9" t="str">
        <f t="shared" si="77"/>
        <v>230123</v>
      </c>
      <c r="D3306" s="9" t="str">
        <f>"230905801"</f>
        <v>230905801</v>
      </c>
      <c r="E3306" s="10">
        <v>78.819999999999993</v>
      </c>
      <c r="F3306" s="10"/>
      <c r="G3306" s="10">
        <v>58.5</v>
      </c>
      <c r="H3306" s="10"/>
      <c r="I3306" s="10">
        <v>66.63</v>
      </c>
    </row>
    <row r="3307" spans="1:9" s="1" customFormat="1" ht="21.75" customHeight="1">
      <c r="A3307" s="8" t="s">
        <v>19</v>
      </c>
      <c r="B3307" s="8" t="s">
        <v>20</v>
      </c>
      <c r="C3307" s="9" t="str">
        <f t="shared" si="77"/>
        <v>230123</v>
      </c>
      <c r="D3307" s="9" t="str">
        <f>"230905429"</f>
        <v>230905429</v>
      </c>
      <c r="E3307" s="10">
        <v>52.18</v>
      </c>
      <c r="F3307" s="10"/>
      <c r="G3307" s="10">
        <v>75.5</v>
      </c>
      <c r="H3307" s="10"/>
      <c r="I3307" s="10">
        <v>66.17</v>
      </c>
    </row>
    <row r="3308" spans="1:9" ht="21.75" customHeight="1">
      <c r="A3308" s="8" t="s">
        <v>19</v>
      </c>
      <c r="B3308" s="8" t="s">
        <v>20</v>
      </c>
      <c r="C3308" s="9" t="str">
        <f t="shared" si="77"/>
        <v>230123</v>
      </c>
      <c r="D3308" s="9" t="str">
        <f>"230905328"</f>
        <v>230905328</v>
      </c>
      <c r="E3308" s="10">
        <v>65.28</v>
      </c>
      <c r="F3308" s="10"/>
      <c r="G3308" s="10">
        <v>66.5</v>
      </c>
      <c r="H3308" s="10"/>
      <c r="I3308" s="10">
        <v>66.010000000000005</v>
      </c>
    </row>
    <row r="3309" spans="1:9" ht="21.75" customHeight="1">
      <c r="A3309" s="8" t="s">
        <v>19</v>
      </c>
      <c r="B3309" s="8" t="s">
        <v>20</v>
      </c>
      <c r="C3309" s="9" t="str">
        <f t="shared" si="77"/>
        <v>230123</v>
      </c>
      <c r="D3309" s="9" t="str">
        <f>"230905704"</f>
        <v>230905704</v>
      </c>
      <c r="E3309" s="10">
        <v>58.68</v>
      </c>
      <c r="F3309" s="10"/>
      <c r="G3309" s="10">
        <v>69.5</v>
      </c>
      <c r="H3309" s="10"/>
      <c r="I3309" s="10">
        <v>65.17</v>
      </c>
    </row>
    <row r="3310" spans="1:9" ht="21.75" customHeight="1">
      <c r="A3310" s="8" t="s">
        <v>19</v>
      </c>
      <c r="B3310" s="8" t="s">
        <v>20</v>
      </c>
      <c r="C3310" s="9" t="str">
        <f t="shared" si="77"/>
        <v>230123</v>
      </c>
      <c r="D3310" s="9" t="str">
        <f>"230905511"</f>
        <v>230905511</v>
      </c>
      <c r="E3310" s="10">
        <v>63.99</v>
      </c>
      <c r="F3310" s="10"/>
      <c r="G3310" s="10">
        <v>64.5</v>
      </c>
      <c r="H3310" s="10"/>
      <c r="I3310" s="10">
        <v>64.3</v>
      </c>
    </row>
    <row r="3311" spans="1:9" ht="21.75" customHeight="1">
      <c r="A3311" s="8" t="s">
        <v>19</v>
      </c>
      <c r="B3311" s="8" t="s">
        <v>20</v>
      </c>
      <c r="C3311" s="9" t="str">
        <f t="shared" si="77"/>
        <v>230123</v>
      </c>
      <c r="D3311" s="9" t="str">
        <f>"230905517"</f>
        <v>230905517</v>
      </c>
      <c r="E3311" s="10">
        <v>42.32</v>
      </c>
      <c r="F3311" s="10"/>
      <c r="G3311" s="10">
        <v>65.5</v>
      </c>
      <c r="H3311" s="10"/>
      <c r="I3311" s="10">
        <v>56.23</v>
      </c>
    </row>
    <row r="3312" spans="1:9" s="1" customFormat="1" ht="21.75" customHeight="1">
      <c r="A3312" s="8" t="s">
        <v>19</v>
      </c>
      <c r="B3312" s="8" t="s">
        <v>20</v>
      </c>
      <c r="C3312" s="9" t="str">
        <f t="shared" si="77"/>
        <v>230123</v>
      </c>
      <c r="D3312" s="9" t="str">
        <f>"230905324"</f>
        <v>230905324</v>
      </c>
      <c r="E3312" s="10">
        <v>0</v>
      </c>
      <c r="F3312" s="10"/>
      <c r="G3312" s="10">
        <v>0</v>
      </c>
      <c r="H3312" s="10"/>
      <c r="I3312" s="10">
        <v>0</v>
      </c>
    </row>
    <row r="3313" spans="1:9" ht="21.75" customHeight="1">
      <c r="A3313" s="8" t="s">
        <v>19</v>
      </c>
      <c r="B3313" s="8" t="s">
        <v>20</v>
      </c>
      <c r="C3313" s="9" t="str">
        <f t="shared" si="77"/>
        <v>230123</v>
      </c>
      <c r="D3313" s="9" t="str">
        <f>"230905409"</f>
        <v>230905409</v>
      </c>
      <c r="E3313" s="10">
        <v>0</v>
      </c>
      <c r="F3313" s="10"/>
      <c r="G3313" s="10">
        <v>0</v>
      </c>
      <c r="H3313" s="10"/>
      <c r="I3313" s="10">
        <v>0</v>
      </c>
    </row>
    <row r="3314" spans="1:9" ht="21.75" customHeight="1">
      <c r="A3314" s="8" t="s">
        <v>19</v>
      </c>
      <c r="B3314" s="8" t="s">
        <v>20</v>
      </c>
      <c r="C3314" s="9" t="str">
        <f t="shared" si="77"/>
        <v>230123</v>
      </c>
      <c r="D3314" s="9" t="str">
        <f>"230905410"</f>
        <v>230905410</v>
      </c>
      <c r="E3314" s="10">
        <v>0</v>
      </c>
      <c r="F3314" s="10"/>
      <c r="G3314" s="10">
        <v>0</v>
      </c>
      <c r="H3314" s="10"/>
      <c r="I3314" s="10">
        <v>0</v>
      </c>
    </row>
    <row r="3315" spans="1:9" s="1" customFormat="1" ht="21.75" customHeight="1">
      <c r="A3315" s="8" t="s">
        <v>19</v>
      </c>
      <c r="B3315" s="8" t="s">
        <v>20</v>
      </c>
      <c r="C3315" s="9" t="str">
        <f t="shared" si="77"/>
        <v>230123</v>
      </c>
      <c r="D3315" s="9" t="str">
        <f>"230905411"</f>
        <v>230905411</v>
      </c>
      <c r="E3315" s="10">
        <v>0</v>
      </c>
      <c r="F3315" s="10"/>
      <c r="G3315" s="10">
        <v>0</v>
      </c>
      <c r="H3315" s="10"/>
      <c r="I3315" s="10">
        <v>0</v>
      </c>
    </row>
    <row r="3316" spans="1:9" s="1" customFormat="1" ht="21.75" customHeight="1">
      <c r="A3316" s="8" t="s">
        <v>19</v>
      </c>
      <c r="B3316" s="8" t="s">
        <v>20</v>
      </c>
      <c r="C3316" s="9" t="str">
        <f t="shared" si="77"/>
        <v>230123</v>
      </c>
      <c r="D3316" s="9" t="str">
        <f>"230905412"</f>
        <v>230905412</v>
      </c>
      <c r="E3316" s="10">
        <v>0</v>
      </c>
      <c r="F3316" s="10"/>
      <c r="G3316" s="10">
        <v>0</v>
      </c>
      <c r="H3316" s="10"/>
      <c r="I3316" s="10">
        <v>0</v>
      </c>
    </row>
    <row r="3317" spans="1:9" ht="21.75" customHeight="1">
      <c r="A3317" s="8" t="s">
        <v>19</v>
      </c>
      <c r="B3317" s="8" t="s">
        <v>20</v>
      </c>
      <c r="C3317" s="9" t="str">
        <f t="shared" si="77"/>
        <v>230123</v>
      </c>
      <c r="D3317" s="9" t="str">
        <f>"230905414"</f>
        <v>230905414</v>
      </c>
      <c r="E3317" s="10">
        <v>0</v>
      </c>
      <c r="F3317" s="10"/>
      <c r="G3317" s="10">
        <v>0</v>
      </c>
      <c r="H3317" s="10"/>
      <c r="I3317" s="10">
        <v>0</v>
      </c>
    </row>
    <row r="3318" spans="1:9" ht="21.75" customHeight="1">
      <c r="A3318" s="8" t="s">
        <v>19</v>
      </c>
      <c r="B3318" s="8" t="s">
        <v>20</v>
      </c>
      <c r="C3318" s="9" t="str">
        <f t="shared" si="77"/>
        <v>230123</v>
      </c>
      <c r="D3318" s="9" t="str">
        <f>"230905415"</f>
        <v>230905415</v>
      </c>
      <c r="E3318" s="10">
        <v>0</v>
      </c>
      <c r="F3318" s="10"/>
      <c r="G3318" s="10">
        <v>0</v>
      </c>
      <c r="H3318" s="10"/>
      <c r="I3318" s="10">
        <v>0</v>
      </c>
    </row>
    <row r="3319" spans="1:9" ht="21.75" customHeight="1">
      <c r="A3319" s="8" t="s">
        <v>19</v>
      </c>
      <c r="B3319" s="8" t="s">
        <v>20</v>
      </c>
      <c r="C3319" s="9" t="str">
        <f t="shared" si="77"/>
        <v>230123</v>
      </c>
      <c r="D3319" s="9" t="str">
        <f>"230905418"</f>
        <v>230905418</v>
      </c>
      <c r="E3319" s="10">
        <v>0</v>
      </c>
      <c r="F3319" s="10"/>
      <c r="G3319" s="10">
        <v>0</v>
      </c>
      <c r="H3319" s="10"/>
      <c r="I3319" s="10">
        <v>0</v>
      </c>
    </row>
    <row r="3320" spans="1:9" ht="21.75" customHeight="1">
      <c r="A3320" s="8" t="s">
        <v>19</v>
      </c>
      <c r="B3320" s="8" t="s">
        <v>20</v>
      </c>
      <c r="C3320" s="9" t="str">
        <f t="shared" si="77"/>
        <v>230123</v>
      </c>
      <c r="D3320" s="9" t="str">
        <f>"230905420"</f>
        <v>230905420</v>
      </c>
      <c r="E3320" s="10">
        <v>0</v>
      </c>
      <c r="F3320" s="10"/>
      <c r="G3320" s="10">
        <v>0</v>
      </c>
      <c r="H3320" s="10"/>
      <c r="I3320" s="10">
        <v>0</v>
      </c>
    </row>
    <row r="3321" spans="1:9" ht="21.75" customHeight="1">
      <c r="A3321" s="8" t="s">
        <v>19</v>
      </c>
      <c r="B3321" s="8" t="s">
        <v>20</v>
      </c>
      <c r="C3321" s="9" t="str">
        <f t="shared" si="77"/>
        <v>230123</v>
      </c>
      <c r="D3321" s="9" t="str">
        <f>"230905421"</f>
        <v>230905421</v>
      </c>
      <c r="E3321" s="10">
        <v>0</v>
      </c>
      <c r="F3321" s="10"/>
      <c r="G3321" s="10">
        <v>0</v>
      </c>
      <c r="H3321" s="10"/>
      <c r="I3321" s="10">
        <v>0</v>
      </c>
    </row>
    <row r="3322" spans="1:9" s="1" customFormat="1" ht="21.75" customHeight="1">
      <c r="A3322" s="8" t="s">
        <v>19</v>
      </c>
      <c r="B3322" s="8" t="s">
        <v>20</v>
      </c>
      <c r="C3322" s="9" t="str">
        <f t="shared" si="77"/>
        <v>230123</v>
      </c>
      <c r="D3322" s="9" t="str">
        <f>"230905425"</f>
        <v>230905425</v>
      </c>
      <c r="E3322" s="10">
        <v>0</v>
      </c>
      <c r="F3322" s="10"/>
      <c r="G3322" s="10">
        <v>0</v>
      </c>
      <c r="H3322" s="10"/>
      <c r="I3322" s="10">
        <v>0</v>
      </c>
    </row>
    <row r="3323" spans="1:9" s="1" customFormat="1" ht="21.75" customHeight="1">
      <c r="A3323" s="8" t="s">
        <v>19</v>
      </c>
      <c r="B3323" s="8" t="s">
        <v>20</v>
      </c>
      <c r="C3323" s="9" t="str">
        <f t="shared" si="77"/>
        <v>230123</v>
      </c>
      <c r="D3323" s="9" t="str">
        <f>"230905426"</f>
        <v>230905426</v>
      </c>
      <c r="E3323" s="10">
        <v>0</v>
      </c>
      <c r="F3323" s="10"/>
      <c r="G3323" s="10">
        <v>0</v>
      </c>
      <c r="H3323" s="10"/>
      <c r="I3323" s="10">
        <v>0</v>
      </c>
    </row>
    <row r="3324" spans="1:9" ht="21.75" customHeight="1">
      <c r="A3324" s="8" t="s">
        <v>19</v>
      </c>
      <c r="B3324" s="8" t="s">
        <v>20</v>
      </c>
      <c r="C3324" s="9" t="str">
        <f t="shared" si="77"/>
        <v>230123</v>
      </c>
      <c r="D3324" s="9" t="str">
        <f>"230905506"</f>
        <v>230905506</v>
      </c>
      <c r="E3324" s="10">
        <v>0</v>
      </c>
      <c r="F3324" s="10"/>
      <c r="G3324" s="10">
        <v>0</v>
      </c>
      <c r="H3324" s="10"/>
      <c r="I3324" s="10">
        <v>0</v>
      </c>
    </row>
    <row r="3325" spans="1:9" s="1" customFormat="1" ht="21.75" customHeight="1">
      <c r="A3325" s="8" t="s">
        <v>19</v>
      </c>
      <c r="B3325" s="8" t="s">
        <v>20</v>
      </c>
      <c r="C3325" s="9" t="str">
        <f t="shared" si="77"/>
        <v>230123</v>
      </c>
      <c r="D3325" s="9" t="str">
        <f>"230905512"</f>
        <v>230905512</v>
      </c>
      <c r="E3325" s="10">
        <v>0</v>
      </c>
      <c r="F3325" s="10"/>
      <c r="G3325" s="10">
        <v>0</v>
      </c>
      <c r="H3325" s="10"/>
      <c r="I3325" s="10">
        <v>0</v>
      </c>
    </row>
    <row r="3326" spans="1:9" s="1" customFormat="1" ht="21.75" customHeight="1">
      <c r="A3326" s="8" t="s">
        <v>19</v>
      </c>
      <c r="B3326" s="8" t="s">
        <v>20</v>
      </c>
      <c r="C3326" s="9" t="str">
        <f t="shared" si="77"/>
        <v>230123</v>
      </c>
      <c r="D3326" s="9" t="str">
        <f>"230905516"</f>
        <v>230905516</v>
      </c>
      <c r="E3326" s="10">
        <v>0</v>
      </c>
      <c r="F3326" s="10"/>
      <c r="G3326" s="10">
        <v>0</v>
      </c>
      <c r="H3326" s="10"/>
      <c r="I3326" s="10">
        <v>0</v>
      </c>
    </row>
    <row r="3327" spans="1:9" ht="21.75" customHeight="1">
      <c r="A3327" s="8" t="s">
        <v>19</v>
      </c>
      <c r="B3327" s="8" t="s">
        <v>20</v>
      </c>
      <c r="C3327" s="9" t="str">
        <f t="shared" si="77"/>
        <v>230123</v>
      </c>
      <c r="D3327" s="9" t="str">
        <f>"230905519"</f>
        <v>230905519</v>
      </c>
      <c r="E3327" s="10">
        <v>0</v>
      </c>
      <c r="F3327" s="10"/>
      <c r="G3327" s="10">
        <v>0</v>
      </c>
      <c r="H3327" s="10"/>
      <c r="I3327" s="10">
        <v>0</v>
      </c>
    </row>
    <row r="3328" spans="1:9" ht="21.75" customHeight="1">
      <c r="A3328" s="8" t="s">
        <v>19</v>
      </c>
      <c r="B3328" s="8" t="s">
        <v>20</v>
      </c>
      <c r="C3328" s="9" t="str">
        <f t="shared" si="77"/>
        <v>230123</v>
      </c>
      <c r="D3328" s="9" t="str">
        <f>"230905526"</f>
        <v>230905526</v>
      </c>
      <c r="E3328" s="10">
        <v>0</v>
      </c>
      <c r="F3328" s="10"/>
      <c r="G3328" s="10">
        <v>0</v>
      </c>
      <c r="H3328" s="10"/>
      <c r="I3328" s="10">
        <v>0</v>
      </c>
    </row>
    <row r="3329" spans="1:9" ht="21.75" customHeight="1">
      <c r="A3329" s="8" t="s">
        <v>19</v>
      </c>
      <c r="B3329" s="8" t="s">
        <v>20</v>
      </c>
      <c r="C3329" s="9" t="str">
        <f t="shared" si="77"/>
        <v>230123</v>
      </c>
      <c r="D3329" s="9" t="str">
        <f>"230905607"</f>
        <v>230905607</v>
      </c>
      <c r="E3329" s="10">
        <v>0</v>
      </c>
      <c r="F3329" s="10"/>
      <c r="G3329" s="10">
        <v>0</v>
      </c>
      <c r="H3329" s="10"/>
      <c r="I3329" s="10">
        <v>0</v>
      </c>
    </row>
    <row r="3330" spans="1:9" ht="21.75" customHeight="1">
      <c r="A3330" s="8" t="s">
        <v>19</v>
      </c>
      <c r="B3330" s="8" t="s">
        <v>20</v>
      </c>
      <c r="C3330" s="9" t="str">
        <f t="shared" si="77"/>
        <v>230123</v>
      </c>
      <c r="D3330" s="9" t="str">
        <f>"230905610"</f>
        <v>230905610</v>
      </c>
      <c r="E3330" s="10">
        <v>0</v>
      </c>
      <c r="F3330" s="10"/>
      <c r="G3330" s="10">
        <v>0</v>
      </c>
      <c r="H3330" s="10"/>
      <c r="I3330" s="10">
        <v>0</v>
      </c>
    </row>
    <row r="3331" spans="1:9" ht="21.75" customHeight="1">
      <c r="A3331" s="8" t="s">
        <v>19</v>
      </c>
      <c r="B3331" s="8" t="s">
        <v>20</v>
      </c>
      <c r="C3331" s="9" t="str">
        <f t="shared" si="77"/>
        <v>230123</v>
      </c>
      <c r="D3331" s="9" t="str">
        <f>"230905611"</f>
        <v>230905611</v>
      </c>
      <c r="E3331" s="10">
        <v>0</v>
      </c>
      <c r="F3331" s="10"/>
      <c r="G3331" s="10">
        <v>0</v>
      </c>
      <c r="H3331" s="10"/>
      <c r="I3331" s="10">
        <v>0</v>
      </c>
    </row>
    <row r="3332" spans="1:9" ht="21.75" customHeight="1">
      <c r="A3332" s="8" t="s">
        <v>19</v>
      </c>
      <c r="B3332" s="8" t="s">
        <v>20</v>
      </c>
      <c r="C3332" s="9" t="str">
        <f t="shared" si="77"/>
        <v>230123</v>
      </c>
      <c r="D3332" s="9" t="str">
        <f>"230905613"</f>
        <v>230905613</v>
      </c>
      <c r="E3332" s="10">
        <v>0</v>
      </c>
      <c r="F3332" s="10"/>
      <c r="G3332" s="10">
        <v>0</v>
      </c>
      <c r="H3332" s="10"/>
      <c r="I3332" s="10">
        <v>0</v>
      </c>
    </row>
    <row r="3333" spans="1:9" ht="21.75" customHeight="1">
      <c r="A3333" s="8" t="s">
        <v>19</v>
      </c>
      <c r="B3333" s="8" t="s">
        <v>20</v>
      </c>
      <c r="C3333" s="9" t="str">
        <f t="shared" ref="C3333:C3346" si="78">"230123"</f>
        <v>230123</v>
      </c>
      <c r="D3333" s="9" t="str">
        <f>"230905617"</f>
        <v>230905617</v>
      </c>
      <c r="E3333" s="10">
        <v>0</v>
      </c>
      <c r="F3333" s="10"/>
      <c r="G3333" s="10">
        <v>0</v>
      </c>
      <c r="H3333" s="10"/>
      <c r="I3333" s="10">
        <v>0</v>
      </c>
    </row>
    <row r="3334" spans="1:9" ht="21.75" customHeight="1">
      <c r="A3334" s="8" t="s">
        <v>19</v>
      </c>
      <c r="B3334" s="8" t="s">
        <v>20</v>
      </c>
      <c r="C3334" s="9" t="str">
        <f t="shared" si="78"/>
        <v>230123</v>
      </c>
      <c r="D3334" s="9" t="str">
        <f>"230905622"</f>
        <v>230905622</v>
      </c>
      <c r="E3334" s="10">
        <v>0</v>
      </c>
      <c r="F3334" s="10"/>
      <c r="G3334" s="10">
        <v>0</v>
      </c>
      <c r="H3334" s="10"/>
      <c r="I3334" s="10">
        <v>0</v>
      </c>
    </row>
    <row r="3335" spans="1:9" s="1" customFormat="1" ht="21.75" customHeight="1">
      <c r="A3335" s="8" t="s">
        <v>19</v>
      </c>
      <c r="B3335" s="8" t="s">
        <v>20</v>
      </c>
      <c r="C3335" s="9" t="str">
        <f t="shared" si="78"/>
        <v>230123</v>
      </c>
      <c r="D3335" s="9" t="str">
        <f>"230905625"</f>
        <v>230905625</v>
      </c>
      <c r="E3335" s="10">
        <v>0</v>
      </c>
      <c r="F3335" s="10"/>
      <c r="G3335" s="10">
        <v>0</v>
      </c>
      <c r="H3335" s="10"/>
      <c r="I3335" s="10">
        <v>0</v>
      </c>
    </row>
    <row r="3336" spans="1:9" ht="21.75" customHeight="1">
      <c r="A3336" s="8" t="s">
        <v>19</v>
      </c>
      <c r="B3336" s="8" t="s">
        <v>20</v>
      </c>
      <c r="C3336" s="9" t="str">
        <f t="shared" si="78"/>
        <v>230123</v>
      </c>
      <c r="D3336" s="9" t="str">
        <f>"230905703"</f>
        <v>230905703</v>
      </c>
      <c r="E3336" s="10">
        <v>0</v>
      </c>
      <c r="F3336" s="10"/>
      <c r="G3336" s="10">
        <v>0</v>
      </c>
      <c r="H3336" s="10"/>
      <c r="I3336" s="10">
        <v>0</v>
      </c>
    </row>
    <row r="3337" spans="1:9" ht="21.75" customHeight="1">
      <c r="A3337" s="8" t="s">
        <v>19</v>
      </c>
      <c r="B3337" s="8" t="s">
        <v>20</v>
      </c>
      <c r="C3337" s="9" t="str">
        <f t="shared" si="78"/>
        <v>230123</v>
      </c>
      <c r="D3337" s="9" t="str">
        <f>"230905706"</f>
        <v>230905706</v>
      </c>
      <c r="E3337" s="10">
        <v>0</v>
      </c>
      <c r="F3337" s="10"/>
      <c r="G3337" s="10">
        <v>0</v>
      </c>
      <c r="H3337" s="10"/>
      <c r="I3337" s="10">
        <v>0</v>
      </c>
    </row>
    <row r="3338" spans="1:9" ht="21.75" customHeight="1">
      <c r="A3338" s="8" t="s">
        <v>19</v>
      </c>
      <c r="B3338" s="8" t="s">
        <v>20</v>
      </c>
      <c r="C3338" s="9" t="str">
        <f t="shared" si="78"/>
        <v>230123</v>
      </c>
      <c r="D3338" s="9" t="str">
        <f>"230905707"</f>
        <v>230905707</v>
      </c>
      <c r="E3338" s="10">
        <v>0</v>
      </c>
      <c r="F3338" s="10"/>
      <c r="G3338" s="10">
        <v>0</v>
      </c>
      <c r="H3338" s="10"/>
      <c r="I3338" s="10">
        <v>0</v>
      </c>
    </row>
    <row r="3339" spans="1:9" ht="21.75" customHeight="1">
      <c r="A3339" s="8" t="s">
        <v>19</v>
      </c>
      <c r="B3339" s="8" t="s">
        <v>20</v>
      </c>
      <c r="C3339" s="9" t="str">
        <f t="shared" si="78"/>
        <v>230123</v>
      </c>
      <c r="D3339" s="9" t="str">
        <f>"230905714"</f>
        <v>230905714</v>
      </c>
      <c r="E3339" s="10">
        <v>0</v>
      </c>
      <c r="F3339" s="10"/>
      <c r="G3339" s="10">
        <v>0</v>
      </c>
      <c r="H3339" s="10"/>
      <c r="I3339" s="10">
        <v>0</v>
      </c>
    </row>
    <row r="3340" spans="1:9" ht="21.75" customHeight="1">
      <c r="A3340" s="8" t="s">
        <v>19</v>
      </c>
      <c r="B3340" s="8" t="s">
        <v>20</v>
      </c>
      <c r="C3340" s="9" t="str">
        <f t="shared" si="78"/>
        <v>230123</v>
      </c>
      <c r="D3340" s="9" t="str">
        <f>"230905718"</f>
        <v>230905718</v>
      </c>
      <c r="E3340" s="10">
        <v>0</v>
      </c>
      <c r="F3340" s="10"/>
      <c r="G3340" s="10">
        <v>0</v>
      </c>
      <c r="H3340" s="10"/>
      <c r="I3340" s="10">
        <v>0</v>
      </c>
    </row>
    <row r="3341" spans="1:9" s="1" customFormat="1" ht="21.75" customHeight="1">
      <c r="A3341" s="8" t="s">
        <v>19</v>
      </c>
      <c r="B3341" s="8" t="s">
        <v>20</v>
      </c>
      <c r="C3341" s="9" t="str">
        <f t="shared" si="78"/>
        <v>230123</v>
      </c>
      <c r="D3341" s="9" t="str">
        <f>"230905726"</f>
        <v>230905726</v>
      </c>
      <c r="E3341" s="10">
        <v>0</v>
      </c>
      <c r="F3341" s="10"/>
      <c r="G3341" s="10">
        <v>0</v>
      </c>
      <c r="H3341" s="10"/>
      <c r="I3341" s="10">
        <v>0</v>
      </c>
    </row>
    <row r="3342" spans="1:9" ht="21.75" customHeight="1">
      <c r="A3342" s="8" t="s">
        <v>19</v>
      </c>
      <c r="B3342" s="8" t="s">
        <v>20</v>
      </c>
      <c r="C3342" s="9" t="str">
        <f t="shared" si="78"/>
        <v>230123</v>
      </c>
      <c r="D3342" s="9" t="str">
        <f>"230905727"</f>
        <v>230905727</v>
      </c>
      <c r="E3342" s="10">
        <v>0</v>
      </c>
      <c r="F3342" s="10"/>
      <c r="G3342" s="10">
        <v>0</v>
      </c>
      <c r="H3342" s="10"/>
      <c r="I3342" s="10">
        <v>0</v>
      </c>
    </row>
    <row r="3343" spans="1:9" s="1" customFormat="1" ht="21.75" customHeight="1">
      <c r="A3343" s="8" t="s">
        <v>19</v>
      </c>
      <c r="B3343" s="8" t="s">
        <v>20</v>
      </c>
      <c r="C3343" s="9" t="str">
        <f t="shared" si="78"/>
        <v>230123</v>
      </c>
      <c r="D3343" s="9" t="str">
        <f>"230905728"</f>
        <v>230905728</v>
      </c>
      <c r="E3343" s="10">
        <v>0</v>
      </c>
      <c r="F3343" s="10"/>
      <c r="G3343" s="10">
        <v>0</v>
      </c>
      <c r="H3343" s="10"/>
      <c r="I3343" s="10">
        <v>0</v>
      </c>
    </row>
    <row r="3344" spans="1:9" s="1" customFormat="1" ht="21.75" customHeight="1">
      <c r="A3344" s="8" t="s">
        <v>19</v>
      </c>
      <c r="B3344" s="8" t="s">
        <v>20</v>
      </c>
      <c r="C3344" s="9" t="str">
        <f t="shared" si="78"/>
        <v>230123</v>
      </c>
      <c r="D3344" s="9" t="str">
        <f>"230905730"</f>
        <v>230905730</v>
      </c>
      <c r="E3344" s="10">
        <v>0</v>
      </c>
      <c r="F3344" s="10"/>
      <c r="G3344" s="10">
        <v>0</v>
      </c>
      <c r="H3344" s="10"/>
      <c r="I3344" s="10">
        <v>0</v>
      </c>
    </row>
    <row r="3345" spans="1:9" ht="21.75" customHeight="1">
      <c r="A3345" s="8" t="s">
        <v>19</v>
      </c>
      <c r="B3345" s="8" t="s">
        <v>20</v>
      </c>
      <c r="C3345" s="9" t="str">
        <f t="shared" si="78"/>
        <v>230123</v>
      </c>
      <c r="D3345" s="9" t="str">
        <f>"230905806"</f>
        <v>230905806</v>
      </c>
      <c r="E3345" s="10">
        <v>0</v>
      </c>
      <c r="F3345" s="10"/>
      <c r="G3345" s="10">
        <v>0</v>
      </c>
      <c r="H3345" s="10"/>
      <c r="I3345" s="10">
        <v>0</v>
      </c>
    </row>
    <row r="3346" spans="1:9" ht="21.75" customHeight="1">
      <c r="A3346" s="8" t="s">
        <v>19</v>
      </c>
      <c r="B3346" s="8" t="s">
        <v>20</v>
      </c>
      <c r="C3346" s="9" t="str">
        <f t="shared" si="78"/>
        <v>230123</v>
      </c>
      <c r="D3346" s="9" t="str">
        <f>"230905812"</f>
        <v>230905812</v>
      </c>
      <c r="E3346" s="10">
        <v>0</v>
      </c>
      <c r="F3346" s="10"/>
      <c r="G3346" s="10">
        <v>0</v>
      </c>
      <c r="H3346" s="10"/>
      <c r="I3346" s="10">
        <v>0</v>
      </c>
    </row>
    <row r="3347" spans="1:9" s="2" customFormat="1" ht="21.75" customHeight="1">
      <c r="A3347" s="8" t="s">
        <v>19</v>
      </c>
      <c r="B3347" s="8" t="s">
        <v>21</v>
      </c>
      <c r="C3347" s="9" t="str">
        <f t="shared" ref="C3347:C3378" si="79">"230124"</f>
        <v>230124</v>
      </c>
      <c r="D3347" s="9" t="str">
        <f>"230905825"</f>
        <v>230905825</v>
      </c>
      <c r="E3347" s="10">
        <v>82.17</v>
      </c>
      <c r="F3347" s="10"/>
      <c r="G3347" s="10">
        <v>75.5</v>
      </c>
      <c r="H3347" s="10"/>
      <c r="I3347" s="10">
        <v>78.17</v>
      </c>
    </row>
    <row r="3348" spans="1:9" s="2" customFormat="1" ht="21.75" customHeight="1">
      <c r="A3348" s="8" t="s">
        <v>19</v>
      </c>
      <c r="B3348" s="8" t="s">
        <v>21</v>
      </c>
      <c r="C3348" s="9" t="str">
        <f t="shared" si="79"/>
        <v>230124</v>
      </c>
      <c r="D3348" s="9" t="str">
        <f>"230905922"</f>
        <v>230905922</v>
      </c>
      <c r="E3348" s="10">
        <v>79.64</v>
      </c>
      <c r="F3348" s="10"/>
      <c r="G3348" s="10">
        <v>74</v>
      </c>
      <c r="H3348" s="10"/>
      <c r="I3348" s="10">
        <v>76.260000000000005</v>
      </c>
    </row>
    <row r="3349" spans="1:9" s="2" customFormat="1" ht="21.75" customHeight="1">
      <c r="A3349" s="8" t="s">
        <v>19</v>
      </c>
      <c r="B3349" s="8" t="s">
        <v>21</v>
      </c>
      <c r="C3349" s="9" t="str">
        <f t="shared" si="79"/>
        <v>230124</v>
      </c>
      <c r="D3349" s="9" t="str">
        <f>"230905913"</f>
        <v>230905913</v>
      </c>
      <c r="E3349" s="10">
        <v>75.260000000000005</v>
      </c>
      <c r="F3349" s="10"/>
      <c r="G3349" s="10">
        <v>76</v>
      </c>
      <c r="H3349" s="10"/>
      <c r="I3349" s="10">
        <v>75.7</v>
      </c>
    </row>
    <row r="3350" spans="1:9" s="2" customFormat="1" ht="21.75" customHeight="1">
      <c r="A3350" s="8" t="s">
        <v>19</v>
      </c>
      <c r="B3350" s="8" t="s">
        <v>21</v>
      </c>
      <c r="C3350" s="9" t="str">
        <f t="shared" si="79"/>
        <v>230124</v>
      </c>
      <c r="D3350" s="9" t="str">
        <f>"230905902"</f>
        <v>230905902</v>
      </c>
      <c r="E3350" s="10">
        <v>72.150000000000006</v>
      </c>
      <c r="F3350" s="10"/>
      <c r="G3350" s="10">
        <v>77</v>
      </c>
      <c r="H3350" s="10"/>
      <c r="I3350" s="10">
        <v>75.06</v>
      </c>
    </row>
    <row r="3351" spans="1:9" s="2" customFormat="1" ht="21.75" customHeight="1">
      <c r="A3351" s="8" t="s">
        <v>19</v>
      </c>
      <c r="B3351" s="8" t="s">
        <v>21</v>
      </c>
      <c r="C3351" s="9" t="str">
        <f t="shared" si="79"/>
        <v>230124</v>
      </c>
      <c r="D3351" s="9" t="str">
        <f>"230905919"</f>
        <v>230905919</v>
      </c>
      <c r="E3351" s="10">
        <v>77.91</v>
      </c>
      <c r="F3351" s="10"/>
      <c r="G3351" s="10">
        <v>71.5</v>
      </c>
      <c r="H3351" s="10"/>
      <c r="I3351" s="10">
        <v>74.06</v>
      </c>
    </row>
    <row r="3352" spans="1:9" s="2" customFormat="1" ht="21.75" customHeight="1">
      <c r="A3352" s="8" t="s">
        <v>19</v>
      </c>
      <c r="B3352" s="8" t="s">
        <v>21</v>
      </c>
      <c r="C3352" s="9" t="str">
        <f t="shared" si="79"/>
        <v>230124</v>
      </c>
      <c r="D3352" s="9" t="str">
        <f>"230905921"</f>
        <v>230905921</v>
      </c>
      <c r="E3352" s="10">
        <v>74</v>
      </c>
      <c r="F3352" s="10"/>
      <c r="G3352" s="10">
        <v>74</v>
      </c>
      <c r="H3352" s="10"/>
      <c r="I3352" s="10">
        <v>74</v>
      </c>
    </row>
    <row r="3353" spans="1:9" s="2" customFormat="1" ht="21.75" customHeight="1">
      <c r="A3353" s="8" t="s">
        <v>19</v>
      </c>
      <c r="B3353" s="8" t="s">
        <v>21</v>
      </c>
      <c r="C3353" s="9" t="str">
        <f t="shared" si="79"/>
        <v>230124</v>
      </c>
      <c r="D3353" s="9" t="str">
        <f>"230905908"</f>
        <v>230905908</v>
      </c>
      <c r="E3353" s="10">
        <v>73.31</v>
      </c>
      <c r="F3353" s="10"/>
      <c r="G3353" s="10">
        <v>73.5</v>
      </c>
      <c r="H3353" s="10"/>
      <c r="I3353" s="10">
        <v>73.42</v>
      </c>
    </row>
    <row r="3354" spans="1:9" s="2" customFormat="1" ht="21.75" customHeight="1">
      <c r="A3354" s="8" t="s">
        <v>19</v>
      </c>
      <c r="B3354" s="8" t="s">
        <v>21</v>
      </c>
      <c r="C3354" s="9" t="str">
        <f t="shared" si="79"/>
        <v>230124</v>
      </c>
      <c r="D3354" s="9" t="str">
        <f>"230905903"</f>
        <v>230905903</v>
      </c>
      <c r="E3354" s="10">
        <v>77.91</v>
      </c>
      <c r="F3354" s="10"/>
      <c r="G3354" s="10">
        <v>70</v>
      </c>
      <c r="H3354" s="10"/>
      <c r="I3354" s="10">
        <v>73.16</v>
      </c>
    </row>
    <row r="3355" spans="1:9" s="2" customFormat="1" ht="21.75" customHeight="1">
      <c r="A3355" s="8" t="s">
        <v>19</v>
      </c>
      <c r="B3355" s="8" t="s">
        <v>21</v>
      </c>
      <c r="C3355" s="9" t="str">
        <f t="shared" si="79"/>
        <v>230124</v>
      </c>
      <c r="D3355" s="9" t="str">
        <f>"230906005"</f>
        <v>230906005</v>
      </c>
      <c r="E3355" s="10">
        <v>73.09</v>
      </c>
      <c r="F3355" s="10"/>
      <c r="G3355" s="10">
        <v>73</v>
      </c>
      <c r="H3355" s="10"/>
      <c r="I3355" s="10">
        <v>73.040000000000006</v>
      </c>
    </row>
    <row r="3356" spans="1:9" s="3" customFormat="1" ht="21.75" customHeight="1">
      <c r="A3356" s="8" t="s">
        <v>19</v>
      </c>
      <c r="B3356" s="8" t="s">
        <v>21</v>
      </c>
      <c r="C3356" s="9" t="str">
        <f t="shared" si="79"/>
        <v>230124</v>
      </c>
      <c r="D3356" s="9" t="str">
        <f>"230906013"</f>
        <v>230906013</v>
      </c>
      <c r="E3356" s="10">
        <v>65.489999999999995</v>
      </c>
      <c r="F3356" s="10"/>
      <c r="G3356" s="10">
        <v>77.5</v>
      </c>
      <c r="H3356" s="10"/>
      <c r="I3356" s="10">
        <v>72.7</v>
      </c>
    </row>
    <row r="3357" spans="1:9" s="3" customFormat="1" ht="21.75" customHeight="1">
      <c r="A3357" s="8" t="s">
        <v>19</v>
      </c>
      <c r="B3357" s="8" t="s">
        <v>21</v>
      </c>
      <c r="C3357" s="9" t="str">
        <f t="shared" si="79"/>
        <v>230124</v>
      </c>
      <c r="D3357" s="9" t="str">
        <f>"230906014"</f>
        <v>230906014</v>
      </c>
      <c r="E3357" s="10">
        <v>75.72</v>
      </c>
      <c r="F3357" s="10"/>
      <c r="G3357" s="10">
        <v>70</v>
      </c>
      <c r="H3357" s="10"/>
      <c r="I3357" s="10">
        <v>72.290000000000006</v>
      </c>
    </row>
    <row r="3358" spans="1:9" s="3" customFormat="1" ht="21.75" customHeight="1">
      <c r="A3358" s="8" t="s">
        <v>19</v>
      </c>
      <c r="B3358" s="8" t="s">
        <v>21</v>
      </c>
      <c r="C3358" s="9" t="str">
        <f t="shared" si="79"/>
        <v>230124</v>
      </c>
      <c r="D3358" s="9" t="str">
        <f>"230905816"</f>
        <v>230905816</v>
      </c>
      <c r="E3358" s="10">
        <v>66.87</v>
      </c>
      <c r="F3358" s="10"/>
      <c r="G3358" s="10">
        <v>75.5</v>
      </c>
      <c r="H3358" s="10"/>
      <c r="I3358" s="10">
        <v>72.05</v>
      </c>
    </row>
    <row r="3359" spans="1:9" s="3" customFormat="1" ht="21.75" customHeight="1">
      <c r="A3359" s="8" t="s">
        <v>19</v>
      </c>
      <c r="B3359" s="8" t="s">
        <v>21</v>
      </c>
      <c r="C3359" s="9" t="str">
        <f t="shared" si="79"/>
        <v>230124</v>
      </c>
      <c r="D3359" s="9" t="str">
        <f>"230905925"</f>
        <v>230905925</v>
      </c>
      <c r="E3359" s="10">
        <v>69.739999999999995</v>
      </c>
      <c r="F3359" s="10"/>
      <c r="G3359" s="10">
        <v>73</v>
      </c>
      <c r="H3359" s="10"/>
      <c r="I3359" s="10">
        <v>71.7</v>
      </c>
    </row>
    <row r="3360" spans="1:9" s="3" customFormat="1" ht="21.75" customHeight="1">
      <c r="A3360" s="8" t="s">
        <v>19</v>
      </c>
      <c r="B3360" s="8" t="s">
        <v>21</v>
      </c>
      <c r="C3360" s="9" t="str">
        <f t="shared" si="79"/>
        <v>230124</v>
      </c>
      <c r="D3360" s="9" t="str">
        <f>"230905929"</f>
        <v>230905929</v>
      </c>
      <c r="E3360" s="10">
        <v>71.03</v>
      </c>
      <c r="F3360" s="10"/>
      <c r="G3360" s="10">
        <v>72</v>
      </c>
      <c r="H3360" s="10"/>
      <c r="I3360" s="10">
        <v>71.61</v>
      </c>
    </row>
    <row r="3361" spans="1:9" s="2" customFormat="1" ht="21.75" customHeight="1">
      <c r="A3361" s="8" t="s">
        <v>19</v>
      </c>
      <c r="B3361" s="8" t="s">
        <v>21</v>
      </c>
      <c r="C3361" s="9" t="str">
        <f t="shared" si="79"/>
        <v>230124</v>
      </c>
      <c r="D3361" s="9" t="str">
        <f>"230905814"</f>
        <v>230905814</v>
      </c>
      <c r="E3361" s="10">
        <v>70.89</v>
      </c>
      <c r="F3361" s="10"/>
      <c r="G3361" s="10">
        <v>71.5</v>
      </c>
      <c r="H3361" s="10"/>
      <c r="I3361" s="10">
        <v>71.260000000000005</v>
      </c>
    </row>
    <row r="3362" spans="1:9" s="2" customFormat="1" ht="21.75" customHeight="1">
      <c r="A3362" s="8" t="s">
        <v>19</v>
      </c>
      <c r="B3362" s="8" t="s">
        <v>21</v>
      </c>
      <c r="C3362" s="9" t="str">
        <f t="shared" si="79"/>
        <v>230124</v>
      </c>
      <c r="D3362" s="9" t="str">
        <f>"230905914"</f>
        <v>230905914</v>
      </c>
      <c r="E3362" s="10">
        <v>64.55</v>
      </c>
      <c r="F3362" s="10"/>
      <c r="G3362" s="10">
        <v>75.5</v>
      </c>
      <c r="H3362" s="10"/>
      <c r="I3362" s="10">
        <v>71.12</v>
      </c>
    </row>
    <row r="3363" spans="1:9" s="2" customFormat="1" ht="21.75" customHeight="1">
      <c r="A3363" s="8" t="s">
        <v>19</v>
      </c>
      <c r="B3363" s="8" t="s">
        <v>21</v>
      </c>
      <c r="C3363" s="9" t="str">
        <f t="shared" si="79"/>
        <v>230124</v>
      </c>
      <c r="D3363" s="9" t="str">
        <f>"230905826"</f>
        <v>230905826</v>
      </c>
      <c r="E3363" s="10">
        <v>72.62</v>
      </c>
      <c r="F3363" s="10"/>
      <c r="G3363" s="10">
        <v>69.5</v>
      </c>
      <c r="H3363" s="10"/>
      <c r="I3363" s="10">
        <v>70.75</v>
      </c>
    </row>
    <row r="3364" spans="1:9" s="2" customFormat="1" ht="21.75" customHeight="1">
      <c r="A3364" s="8" t="s">
        <v>19</v>
      </c>
      <c r="B3364" s="8" t="s">
        <v>21</v>
      </c>
      <c r="C3364" s="9" t="str">
        <f t="shared" si="79"/>
        <v>230124</v>
      </c>
      <c r="D3364" s="9" t="str">
        <f>"230905924"</f>
        <v>230905924</v>
      </c>
      <c r="E3364" s="10">
        <v>74.81</v>
      </c>
      <c r="F3364" s="10"/>
      <c r="G3364" s="10">
        <v>68</v>
      </c>
      <c r="H3364" s="10"/>
      <c r="I3364" s="10">
        <v>70.72</v>
      </c>
    </row>
    <row r="3365" spans="1:9" s="2" customFormat="1" ht="21.75" customHeight="1">
      <c r="A3365" s="8" t="s">
        <v>19</v>
      </c>
      <c r="B3365" s="8" t="s">
        <v>21</v>
      </c>
      <c r="C3365" s="9" t="str">
        <f t="shared" si="79"/>
        <v>230124</v>
      </c>
      <c r="D3365" s="9" t="str">
        <f>"230905830"</f>
        <v>230905830</v>
      </c>
      <c r="E3365" s="10">
        <v>77.78</v>
      </c>
      <c r="F3365" s="10"/>
      <c r="G3365" s="10">
        <v>66</v>
      </c>
      <c r="H3365" s="10"/>
      <c r="I3365" s="10">
        <v>70.709999999999994</v>
      </c>
    </row>
    <row r="3366" spans="1:9" s="2" customFormat="1" ht="21.75" customHeight="1">
      <c r="A3366" s="8" t="s">
        <v>19</v>
      </c>
      <c r="B3366" s="8" t="s">
        <v>21</v>
      </c>
      <c r="C3366" s="9" t="str">
        <f t="shared" si="79"/>
        <v>230124</v>
      </c>
      <c r="D3366" s="9" t="str">
        <f>"230905927"</f>
        <v>230905927</v>
      </c>
      <c r="E3366" s="10">
        <v>73.31</v>
      </c>
      <c r="F3366" s="10"/>
      <c r="G3366" s="10">
        <v>68.5</v>
      </c>
      <c r="H3366" s="10"/>
      <c r="I3366" s="10">
        <v>70.42</v>
      </c>
    </row>
    <row r="3367" spans="1:9" s="2" customFormat="1" ht="21.75" customHeight="1">
      <c r="A3367" s="8" t="s">
        <v>19</v>
      </c>
      <c r="B3367" s="8" t="s">
        <v>21</v>
      </c>
      <c r="C3367" s="9" t="str">
        <f t="shared" si="79"/>
        <v>230124</v>
      </c>
      <c r="D3367" s="9" t="str">
        <f>"230906010"</f>
        <v>230906010</v>
      </c>
      <c r="E3367" s="10">
        <v>64.819999999999993</v>
      </c>
      <c r="F3367" s="10"/>
      <c r="G3367" s="10">
        <v>74</v>
      </c>
      <c r="H3367" s="10"/>
      <c r="I3367" s="10">
        <v>70.33</v>
      </c>
    </row>
    <row r="3368" spans="1:9" s="2" customFormat="1" ht="21.75" customHeight="1">
      <c r="A3368" s="8" t="s">
        <v>19</v>
      </c>
      <c r="B3368" s="8" t="s">
        <v>21</v>
      </c>
      <c r="C3368" s="9" t="str">
        <f t="shared" si="79"/>
        <v>230124</v>
      </c>
      <c r="D3368" s="9" t="str">
        <f>"230905813"</f>
        <v>230905813</v>
      </c>
      <c r="E3368" s="10">
        <v>68.25</v>
      </c>
      <c r="F3368" s="10"/>
      <c r="G3368" s="10">
        <v>71.5</v>
      </c>
      <c r="H3368" s="10"/>
      <c r="I3368" s="10">
        <v>70.2</v>
      </c>
    </row>
    <row r="3369" spans="1:9" s="2" customFormat="1" ht="21.75" customHeight="1">
      <c r="A3369" s="8" t="s">
        <v>19</v>
      </c>
      <c r="B3369" s="8" t="s">
        <v>21</v>
      </c>
      <c r="C3369" s="9" t="str">
        <f t="shared" si="79"/>
        <v>230124</v>
      </c>
      <c r="D3369" s="9" t="str">
        <f>"230905906"</f>
        <v>230905906</v>
      </c>
      <c r="E3369" s="10">
        <v>70.11</v>
      </c>
      <c r="F3369" s="10"/>
      <c r="G3369" s="10">
        <v>70</v>
      </c>
      <c r="H3369" s="10"/>
      <c r="I3369" s="10">
        <v>70.040000000000006</v>
      </c>
    </row>
    <row r="3370" spans="1:9" s="3" customFormat="1" ht="21.75" customHeight="1">
      <c r="A3370" s="8" t="s">
        <v>19</v>
      </c>
      <c r="B3370" s="8" t="s">
        <v>21</v>
      </c>
      <c r="C3370" s="9" t="str">
        <f t="shared" si="79"/>
        <v>230124</v>
      </c>
      <c r="D3370" s="9" t="str">
        <f>"230905918"</f>
        <v>230905918</v>
      </c>
      <c r="E3370" s="10">
        <v>61.81</v>
      </c>
      <c r="F3370" s="10"/>
      <c r="G3370" s="10">
        <v>75</v>
      </c>
      <c r="H3370" s="10"/>
      <c r="I3370" s="10">
        <v>69.72</v>
      </c>
    </row>
    <row r="3371" spans="1:9" s="3" customFormat="1" ht="21.75" customHeight="1">
      <c r="A3371" s="8" t="s">
        <v>19</v>
      </c>
      <c r="B3371" s="8" t="s">
        <v>21</v>
      </c>
      <c r="C3371" s="9" t="str">
        <f t="shared" si="79"/>
        <v>230124</v>
      </c>
      <c r="D3371" s="9" t="str">
        <f>"230905920"</f>
        <v>230905920</v>
      </c>
      <c r="E3371" s="10">
        <v>63.3</v>
      </c>
      <c r="F3371" s="10"/>
      <c r="G3371" s="10">
        <v>74</v>
      </c>
      <c r="H3371" s="10"/>
      <c r="I3371" s="10">
        <v>69.72</v>
      </c>
    </row>
    <row r="3372" spans="1:9" s="2" customFormat="1" ht="21.75" customHeight="1">
      <c r="A3372" s="8" t="s">
        <v>19</v>
      </c>
      <c r="B3372" s="8" t="s">
        <v>21</v>
      </c>
      <c r="C3372" s="9" t="str">
        <f t="shared" si="79"/>
        <v>230124</v>
      </c>
      <c r="D3372" s="9" t="str">
        <f>"230905904"</f>
        <v>230905904</v>
      </c>
      <c r="E3372" s="10">
        <v>69.63</v>
      </c>
      <c r="F3372" s="10"/>
      <c r="G3372" s="10">
        <v>69.5</v>
      </c>
      <c r="H3372" s="10"/>
      <c r="I3372" s="10">
        <v>69.55</v>
      </c>
    </row>
    <row r="3373" spans="1:9" s="2" customFormat="1" ht="21.75" customHeight="1">
      <c r="A3373" s="8" t="s">
        <v>19</v>
      </c>
      <c r="B3373" s="8" t="s">
        <v>21</v>
      </c>
      <c r="C3373" s="9" t="str">
        <f t="shared" si="79"/>
        <v>230124</v>
      </c>
      <c r="D3373" s="9" t="str">
        <f>"230905818"</f>
        <v>230905818</v>
      </c>
      <c r="E3373" s="10">
        <v>68.48</v>
      </c>
      <c r="F3373" s="10"/>
      <c r="G3373" s="10">
        <v>70</v>
      </c>
      <c r="H3373" s="10"/>
      <c r="I3373" s="10">
        <v>69.39</v>
      </c>
    </row>
    <row r="3374" spans="1:9" s="2" customFormat="1" ht="21.75" customHeight="1">
      <c r="A3374" s="8" t="s">
        <v>19</v>
      </c>
      <c r="B3374" s="8" t="s">
        <v>21</v>
      </c>
      <c r="C3374" s="9" t="str">
        <f t="shared" si="79"/>
        <v>230124</v>
      </c>
      <c r="D3374" s="9" t="str">
        <f>"230905907"</f>
        <v>230905907</v>
      </c>
      <c r="E3374" s="10">
        <v>64.569999999999993</v>
      </c>
      <c r="F3374" s="10"/>
      <c r="G3374" s="10">
        <v>72.5</v>
      </c>
      <c r="H3374" s="10"/>
      <c r="I3374" s="10">
        <v>69.33</v>
      </c>
    </row>
    <row r="3375" spans="1:9" s="2" customFormat="1" ht="21.75" customHeight="1">
      <c r="A3375" s="8" t="s">
        <v>19</v>
      </c>
      <c r="B3375" s="8" t="s">
        <v>21</v>
      </c>
      <c r="C3375" s="9" t="str">
        <f t="shared" si="79"/>
        <v>230124</v>
      </c>
      <c r="D3375" s="9" t="str">
        <f>"230905910"</f>
        <v>230905910</v>
      </c>
      <c r="E3375" s="10">
        <v>64.45</v>
      </c>
      <c r="F3375" s="10"/>
      <c r="G3375" s="10">
        <v>72.5</v>
      </c>
      <c r="H3375" s="10"/>
      <c r="I3375" s="10">
        <v>69.28</v>
      </c>
    </row>
    <row r="3376" spans="1:9" s="2" customFormat="1" ht="21.75" customHeight="1">
      <c r="A3376" s="8" t="s">
        <v>19</v>
      </c>
      <c r="B3376" s="8" t="s">
        <v>21</v>
      </c>
      <c r="C3376" s="9" t="str">
        <f t="shared" si="79"/>
        <v>230124</v>
      </c>
      <c r="D3376" s="9" t="str">
        <f>"230905916"</f>
        <v>230905916</v>
      </c>
      <c r="E3376" s="10">
        <v>67.33</v>
      </c>
      <c r="F3376" s="10"/>
      <c r="G3376" s="10">
        <v>70.5</v>
      </c>
      <c r="H3376" s="10"/>
      <c r="I3376" s="10">
        <v>69.23</v>
      </c>
    </row>
    <row r="3377" spans="1:9" s="2" customFormat="1" ht="21.75" customHeight="1">
      <c r="A3377" s="8" t="s">
        <v>19</v>
      </c>
      <c r="B3377" s="8" t="s">
        <v>21</v>
      </c>
      <c r="C3377" s="9" t="str">
        <f t="shared" si="79"/>
        <v>230124</v>
      </c>
      <c r="D3377" s="9" t="str">
        <f>"230906012"</f>
        <v>230906012</v>
      </c>
      <c r="E3377" s="10">
        <v>64.709999999999994</v>
      </c>
      <c r="F3377" s="10"/>
      <c r="G3377" s="10">
        <v>71.5</v>
      </c>
      <c r="H3377" s="10"/>
      <c r="I3377" s="10">
        <v>68.78</v>
      </c>
    </row>
    <row r="3378" spans="1:9" s="2" customFormat="1" ht="21.75" customHeight="1">
      <c r="A3378" s="8" t="s">
        <v>19</v>
      </c>
      <c r="B3378" s="8" t="s">
        <v>21</v>
      </c>
      <c r="C3378" s="9" t="str">
        <f t="shared" si="79"/>
        <v>230124</v>
      </c>
      <c r="D3378" s="9" t="str">
        <f>"230905819"</f>
        <v>230905819</v>
      </c>
      <c r="E3378" s="10">
        <v>69.87</v>
      </c>
      <c r="F3378" s="10"/>
      <c r="G3378" s="10">
        <v>67</v>
      </c>
      <c r="H3378" s="10"/>
      <c r="I3378" s="10">
        <v>68.150000000000006</v>
      </c>
    </row>
    <row r="3379" spans="1:9" s="2" customFormat="1" ht="21.75" customHeight="1">
      <c r="A3379" s="8" t="s">
        <v>19</v>
      </c>
      <c r="B3379" s="8" t="s">
        <v>21</v>
      </c>
      <c r="C3379" s="9" t="str">
        <f t="shared" ref="C3379:C3409" si="80">"230124"</f>
        <v>230124</v>
      </c>
      <c r="D3379" s="9" t="str">
        <f>"230905824"</f>
        <v>230905824</v>
      </c>
      <c r="E3379" s="10">
        <v>72.73</v>
      </c>
      <c r="F3379" s="10"/>
      <c r="G3379" s="10">
        <v>65</v>
      </c>
      <c r="H3379" s="10"/>
      <c r="I3379" s="10">
        <v>68.09</v>
      </c>
    </row>
    <row r="3380" spans="1:9" s="3" customFormat="1" ht="21.75" customHeight="1">
      <c r="A3380" s="8" t="s">
        <v>19</v>
      </c>
      <c r="B3380" s="8" t="s">
        <v>21</v>
      </c>
      <c r="C3380" s="9" t="str">
        <f t="shared" si="80"/>
        <v>230124</v>
      </c>
      <c r="D3380" s="9" t="str">
        <f>"230905828"</f>
        <v>230905828</v>
      </c>
      <c r="E3380" s="10">
        <v>62.95</v>
      </c>
      <c r="F3380" s="10"/>
      <c r="G3380" s="10">
        <v>71.5</v>
      </c>
      <c r="H3380" s="10"/>
      <c r="I3380" s="10">
        <v>68.08</v>
      </c>
    </row>
    <row r="3381" spans="1:9" s="2" customFormat="1" ht="21.75" customHeight="1">
      <c r="A3381" s="8" t="s">
        <v>19</v>
      </c>
      <c r="B3381" s="8" t="s">
        <v>21</v>
      </c>
      <c r="C3381" s="9" t="str">
        <f t="shared" si="80"/>
        <v>230124</v>
      </c>
      <c r="D3381" s="9" t="str">
        <f>"230905909"</f>
        <v>230905909</v>
      </c>
      <c r="E3381" s="10">
        <v>60.9</v>
      </c>
      <c r="F3381" s="10"/>
      <c r="G3381" s="10">
        <v>71</v>
      </c>
      <c r="H3381" s="10"/>
      <c r="I3381" s="10">
        <v>66.959999999999994</v>
      </c>
    </row>
    <row r="3382" spans="1:9" s="2" customFormat="1" ht="21.75" customHeight="1">
      <c r="A3382" s="8" t="s">
        <v>19</v>
      </c>
      <c r="B3382" s="8" t="s">
        <v>21</v>
      </c>
      <c r="C3382" s="9" t="str">
        <f t="shared" si="80"/>
        <v>230124</v>
      </c>
      <c r="D3382" s="9" t="str">
        <f>"230905912"</f>
        <v>230905912</v>
      </c>
      <c r="E3382" s="10">
        <v>66.86</v>
      </c>
      <c r="F3382" s="10"/>
      <c r="G3382" s="10">
        <v>66.5</v>
      </c>
      <c r="H3382" s="10"/>
      <c r="I3382" s="10">
        <v>66.64</v>
      </c>
    </row>
    <row r="3383" spans="1:9" s="3" customFormat="1" ht="21.75" customHeight="1">
      <c r="A3383" s="8" t="s">
        <v>19</v>
      </c>
      <c r="B3383" s="8" t="s">
        <v>21</v>
      </c>
      <c r="C3383" s="9" t="str">
        <f t="shared" si="80"/>
        <v>230124</v>
      </c>
      <c r="D3383" s="9" t="str">
        <f>"230906008"</f>
        <v>230906008</v>
      </c>
      <c r="E3383" s="10">
        <v>68.12</v>
      </c>
      <c r="F3383" s="10"/>
      <c r="G3383" s="10">
        <v>65.5</v>
      </c>
      <c r="H3383" s="10"/>
      <c r="I3383" s="10">
        <v>66.55</v>
      </c>
    </row>
    <row r="3384" spans="1:9" s="2" customFormat="1" ht="21.75" customHeight="1">
      <c r="A3384" s="8" t="s">
        <v>19</v>
      </c>
      <c r="B3384" s="8" t="s">
        <v>21</v>
      </c>
      <c r="C3384" s="9" t="str">
        <f t="shared" si="80"/>
        <v>230124</v>
      </c>
      <c r="D3384" s="9" t="str">
        <f>"230905827"</f>
        <v>230905827</v>
      </c>
      <c r="E3384" s="10">
        <v>71.819999999999993</v>
      </c>
      <c r="F3384" s="10"/>
      <c r="G3384" s="10">
        <v>61.5</v>
      </c>
      <c r="H3384" s="10"/>
      <c r="I3384" s="10">
        <v>65.63</v>
      </c>
    </row>
    <row r="3385" spans="1:9" s="2" customFormat="1" ht="21.75" customHeight="1">
      <c r="A3385" s="8" t="s">
        <v>19</v>
      </c>
      <c r="B3385" s="8" t="s">
        <v>21</v>
      </c>
      <c r="C3385" s="9" t="str">
        <f t="shared" si="80"/>
        <v>230124</v>
      </c>
      <c r="D3385" s="9" t="str">
        <f>"230905923"</f>
        <v>230905923</v>
      </c>
      <c r="E3385" s="10">
        <v>60.87</v>
      </c>
      <c r="F3385" s="10"/>
      <c r="G3385" s="10">
        <v>68.5</v>
      </c>
      <c r="H3385" s="10"/>
      <c r="I3385" s="10">
        <v>65.45</v>
      </c>
    </row>
    <row r="3386" spans="1:9" s="2" customFormat="1" ht="21.75" customHeight="1">
      <c r="A3386" s="8" t="s">
        <v>19</v>
      </c>
      <c r="B3386" s="8" t="s">
        <v>21</v>
      </c>
      <c r="C3386" s="9" t="str">
        <f t="shared" si="80"/>
        <v>230124</v>
      </c>
      <c r="D3386" s="9" t="str">
        <f>"230905928"</f>
        <v>230905928</v>
      </c>
      <c r="E3386" s="10">
        <v>59.62</v>
      </c>
      <c r="F3386" s="10"/>
      <c r="G3386" s="10">
        <v>67</v>
      </c>
      <c r="H3386" s="10"/>
      <c r="I3386" s="10">
        <v>64.05</v>
      </c>
    </row>
    <row r="3387" spans="1:9" s="2" customFormat="1" ht="21.75" customHeight="1">
      <c r="A3387" s="8" t="s">
        <v>19</v>
      </c>
      <c r="B3387" s="8" t="s">
        <v>21</v>
      </c>
      <c r="C3387" s="9" t="str">
        <f t="shared" si="80"/>
        <v>230124</v>
      </c>
      <c r="D3387" s="9" t="str">
        <f>"230905820"</f>
        <v>230905820</v>
      </c>
      <c r="E3387" s="10">
        <v>62.04</v>
      </c>
      <c r="F3387" s="10"/>
      <c r="G3387" s="10">
        <v>65</v>
      </c>
      <c r="H3387" s="10"/>
      <c r="I3387" s="10">
        <v>63.82</v>
      </c>
    </row>
    <row r="3388" spans="1:9" s="2" customFormat="1" ht="21.75" customHeight="1">
      <c r="A3388" s="8" t="s">
        <v>19</v>
      </c>
      <c r="B3388" s="8" t="s">
        <v>21</v>
      </c>
      <c r="C3388" s="9" t="str">
        <f t="shared" si="80"/>
        <v>230124</v>
      </c>
      <c r="D3388" s="9" t="str">
        <f>"230905915"</f>
        <v>230905915</v>
      </c>
      <c r="E3388" s="10">
        <v>64.2</v>
      </c>
      <c r="F3388" s="10"/>
      <c r="G3388" s="10">
        <v>61.5</v>
      </c>
      <c r="H3388" s="10"/>
      <c r="I3388" s="10">
        <v>62.58</v>
      </c>
    </row>
    <row r="3389" spans="1:9" s="2" customFormat="1" ht="21.75" customHeight="1">
      <c r="A3389" s="8" t="s">
        <v>19</v>
      </c>
      <c r="B3389" s="8" t="s">
        <v>21</v>
      </c>
      <c r="C3389" s="9" t="str">
        <f t="shared" si="80"/>
        <v>230124</v>
      </c>
      <c r="D3389" s="9" t="str">
        <f>"230905815"</f>
        <v>230905815</v>
      </c>
      <c r="E3389" s="10">
        <v>0</v>
      </c>
      <c r="F3389" s="10"/>
      <c r="G3389" s="10">
        <v>0</v>
      </c>
      <c r="H3389" s="10"/>
      <c r="I3389" s="10">
        <v>0</v>
      </c>
    </row>
    <row r="3390" spans="1:9" s="2" customFormat="1" ht="21.75" customHeight="1">
      <c r="A3390" s="8" t="s">
        <v>19</v>
      </c>
      <c r="B3390" s="8" t="s">
        <v>21</v>
      </c>
      <c r="C3390" s="9" t="str">
        <f t="shared" si="80"/>
        <v>230124</v>
      </c>
      <c r="D3390" s="9" t="str">
        <f>"230905817"</f>
        <v>230905817</v>
      </c>
      <c r="E3390" s="10">
        <v>0</v>
      </c>
      <c r="F3390" s="10"/>
      <c r="G3390" s="10">
        <v>0</v>
      </c>
      <c r="H3390" s="10"/>
      <c r="I3390" s="10">
        <v>0</v>
      </c>
    </row>
    <row r="3391" spans="1:9" s="2" customFormat="1" ht="21.75" customHeight="1">
      <c r="A3391" s="8" t="s">
        <v>19</v>
      </c>
      <c r="B3391" s="8" t="s">
        <v>21</v>
      </c>
      <c r="C3391" s="9" t="str">
        <f t="shared" si="80"/>
        <v>230124</v>
      </c>
      <c r="D3391" s="9" t="str">
        <f>"230905821"</f>
        <v>230905821</v>
      </c>
      <c r="E3391" s="10">
        <v>0</v>
      </c>
      <c r="F3391" s="10"/>
      <c r="G3391" s="10">
        <v>0</v>
      </c>
      <c r="H3391" s="10"/>
      <c r="I3391" s="10">
        <v>0</v>
      </c>
    </row>
    <row r="3392" spans="1:9" s="2" customFormat="1" ht="21.75" customHeight="1">
      <c r="A3392" s="8" t="s">
        <v>19</v>
      </c>
      <c r="B3392" s="8" t="s">
        <v>21</v>
      </c>
      <c r="C3392" s="9" t="str">
        <f t="shared" si="80"/>
        <v>230124</v>
      </c>
      <c r="D3392" s="9" t="str">
        <f>"230905822"</f>
        <v>230905822</v>
      </c>
      <c r="E3392" s="10">
        <v>0</v>
      </c>
      <c r="F3392" s="10"/>
      <c r="G3392" s="10">
        <v>0</v>
      </c>
      <c r="H3392" s="10"/>
      <c r="I3392" s="10">
        <v>0</v>
      </c>
    </row>
    <row r="3393" spans="1:9" s="3" customFormat="1" ht="21.75" customHeight="1">
      <c r="A3393" s="8" t="s">
        <v>19</v>
      </c>
      <c r="B3393" s="8" t="s">
        <v>21</v>
      </c>
      <c r="C3393" s="9" t="str">
        <f t="shared" si="80"/>
        <v>230124</v>
      </c>
      <c r="D3393" s="9" t="str">
        <f>"230905823"</f>
        <v>230905823</v>
      </c>
      <c r="E3393" s="10">
        <v>0</v>
      </c>
      <c r="F3393" s="10"/>
      <c r="G3393" s="10">
        <v>0</v>
      </c>
      <c r="H3393" s="10"/>
      <c r="I3393" s="10">
        <v>0</v>
      </c>
    </row>
    <row r="3394" spans="1:9" s="3" customFormat="1" ht="21.75" customHeight="1">
      <c r="A3394" s="8" t="s">
        <v>19</v>
      </c>
      <c r="B3394" s="8" t="s">
        <v>21</v>
      </c>
      <c r="C3394" s="9" t="str">
        <f t="shared" si="80"/>
        <v>230124</v>
      </c>
      <c r="D3394" s="9" t="str">
        <f>"230905829"</f>
        <v>230905829</v>
      </c>
      <c r="E3394" s="10">
        <v>0</v>
      </c>
      <c r="F3394" s="10"/>
      <c r="G3394" s="10">
        <v>0</v>
      </c>
      <c r="H3394" s="10"/>
      <c r="I3394" s="10">
        <v>0</v>
      </c>
    </row>
    <row r="3395" spans="1:9" s="2" customFormat="1" ht="21.75" customHeight="1">
      <c r="A3395" s="8" t="s">
        <v>19</v>
      </c>
      <c r="B3395" s="8" t="s">
        <v>21</v>
      </c>
      <c r="C3395" s="9" t="str">
        <f t="shared" si="80"/>
        <v>230124</v>
      </c>
      <c r="D3395" s="9" t="str">
        <f>"230905901"</f>
        <v>230905901</v>
      </c>
      <c r="E3395" s="10">
        <v>0</v>
      </c>
      <c r="F3395" s="10"/>
      <c r="G3395" s="10">
        <v>0</v>
      </c>
      <c r="H3395" s="10"/>
      <c r="I3395" s="10">
        <v>0</v>
      </c>
    </row>
    <row r="3396" spans="1:9" s="2" customFormat="1" ht="21.75" customHeight="1">
      <c r="A3396" s="8" t="s">
        <v>19</v>
      </c>
      <c r="B3396" s="8" t="s">
        <v>21</v>
      </c>
      <c r="C3396" s="9" t="str">
        <f t="shared" si="80"/>
        <v>230124</v>
      </c>
      <c r="D3396" s="9" t="str">
        <f>"230905905"</f>
        <v>230905905</v>
      </c>
      <c r="E3396" s="10">
        <v>0</v>
      </c>
      <c r="F3396" s="10"/>
      <c r="G3396" s="10">
        <v>0</v>
      </c>
      <c r="H3396" s="10"/>
      <c r="I3396" s="10">
        <v>0</v>
      </c>
    </row>
    <row r="3397" spans="1:9" s="3" customFormat="1" ht="21.75" customHeight="1">
      <c r="A3397" s="8" t="s">
        <v>19</v>
      </c>
      <c r="B3397" s="8" t="s">
        <v>21</v>
      </c>
      <c r="C3397" s="9" t="str">
        <f t="shared" si="80"/>
        <v>230124</v>
      </c>
      <c r="D3397" s="9" t="str">
        <f>"230905911"</f>
        <v>230905911</v>
      </c>
      <c r="E3397" s="10">
        <v>0</v>
      </c>
      <c r="F3397" s="10"/>
      <c r="G3397" s="10">
        <v>0</v>
      </c>
      <c r="H3397" s="10"/>
      <c r="I3397" s="10">
        <v>0</v>
      </c>
    </row>
    <row r="3398" spans="1:9" s="2" customFormat="1" ht="21.75" customHeight="1">
      <c r="A3398" s="8" t="s">
        <v>19</v>
      </c>
      <c r="B3398" s="8" t="s">
        <v>21</v>
      </c>
      <c r="C3398" s="9" t="str">
        <f t="shared" si="80"/>
        <v>230124</v>
      </c>
      <c r="D3398" s="9" t="str">
        <f>"230905917"</f>
        <v>230905917</v>
      </c>
      <c r="E3398" s="10">
        <v>0</v>
      </c>
      <c r="F3398" s="10"/>
      <c r="G3398" s="10">
        <v>0</v>
      </c>
      <c r="H3398" s="10"/>
      <c r="I3398" s="10">
        <v>0</v>
      </c>
    </row>
    <row r="3399" spans="1:9" s="3" customFormat="1" ht="21.75" customHeight="1">
      <c r="A3399" s="8" t="s">
        <v>19</v>
      </c>
      <c r="B3399" s="8" t="s">
        <v>21</v>
      </c>
      <c r="C3399" s="9" t="str">
        <f t="shared" si="80"/>
        <v>230124</v>
      </c>
      <c r="D3399" s="9" t="str">
        <f>"230905926"</f>
        <v>230905926</v>
      </c>
      <c r="E3399" s="10">
        <v>0</v>
      </c>
      <c r="F3399" s="10"/>
      <c r="G3399" s="10">
        <v>0</v>
      </c>
      <c r="H3399" s="10"/>
      <c r="I3399" s="10">
        <v>0</v>
      </c>
    </row>
    <row r="3400" spans="1:9" s="3" customFormat="1" ht="21.75" customHeight="1">
      <c r="A3400" s="8" t="s">
        <v>19</v>
      </c>
      <c r="B3400" s="8" t="s">
        <v>21</v>
      </c>
      <c r="C3400" s="9" t="str">
        <f t="shared" si="80"/>
        <v>230124</v>
      </c>
      <c r="D3400" s="9" t="str">
        <f>"230905930"</f>
        <v>230905930</v>
      </c>
      <c r="E3400" s="10">
        <v>0</v>
      </c>
      <c r="F3400" s="10"/>
      <c r="G3400" s="10">
        <v>0</v>
      </c>
      <c r="H3400" s="10"/>
      <c r="I3400" s="10">
        <v>0</v>
      </c>
    </row>
    <row r="3401" spans="1:9" s="2" customFormat="1" ht="21.75" customHeight="1">
      <c r="A3401" s="8" t="s">
        <v>19</v>
      </c>
      <c r="B3401" s="8" t="s">
        <v>21</v>
      </c>
      <c r="C3401" s="9" t="str">
        <f t="shared" si="80"/>
        <v>230124</v>
      </c>
      <c r="D3401" s="9" t="str">
        <f>"230906001"</f>
        <v>230906001</v>
      </c>
      <c r="E3401" s="10">
        <v>0</v>
      </c>
      <c r="F3401" s="10"/>
      <c r="G3401" s="10">
        <v>0</v>
      </c>
      <c r="H3401" s="10"/>
      <c r="I3401" s="10">
        <v>0</v>
      </c>
    </row>
    <row r="3402" spans="1:9" s="2" customFormat="1" ht="21.75" customHeight="1">
      <c r="A3402" s="8" t="s">
        <v>19</v>
      </c>
      <c r="B3402" s="8" t="s">
        <v>21</v>
      </c>
      <c r="C3402" s="9" t="str">
        <f t="shared" si="80"/>
        <v>230124</v>
      </c>
      <c r="D3402" s="9" t="str">
        <f>"230906002"</f>
        <v>230906002</v>
      </c>
      <c r="E3402" s="10">
        <v>0</v>
      </c>
      <c r="F3402" s="10"/>
      <c r="G3402" s="10">
        <v>0</v>
      </c>
      <c r="H3402" s="10"/>
      <c r="I3402" s="10">
        <v>0</v>
      </c>
    </row>
    <row r="3403" spans="1:9" s="2" customFormat="1" ht="21.75" customHeight="1">
      <c r="A3403" s="8" t="s">
        <v>19</v>
      </c>
      <c r="B3403" s="8" t="s">
        <v>21</v>
      </c>
      <c r="C3403" s="9" t="str">
        <f t="shared" si="80"/>
        <v>230124</v>
      </c>
      <c r="D3403" s="9" t="str">
        <f>"230906003"</f>
        <v>230906003</v>
      </c>
      <c r="E3403" s="10">
        <v>0</v>
      </c>
      <c r="F3403" s="10"/>
      <c r="G3403" s="10">
        <v>0</v>
      </c>
      <c r="H3403" s="10"/>
      <c r="I3403" s="10">
        <v>0</v>
      </c>
    </row>
    <row r="3404" spans="1:9" s="2" customFormat="1" ht="21.75" customHeight="1">
      <c r="A3404" s="8" t="s">
        <v>19</v>
      </c>
      <c r="B3404" s="8" t="s">
        <v>21</v>
      </c>
      <c r="C3404" s="9" t="str">
        <f t="shared" si="80"/>
        <v>230124</v>
      </c>
      <c r="D3404" s="9" t="str">
        <f>"230906004"</f>
        <v>230906004</v>
      </c>
      <c r="E3404" s="10">
        <v>0</v>
      </c>
      <c r="F3404" s="10"/>
      <c r="G3404" s="10">
        <v>0</v>
      </c>
      <c r="H3404" s="10"/>
      <c r="I3404" s="10">
        <v>0</v>
      </c>
    </row>
    <row r="3405" spans="1:9" s="2" customFormat="1" ht="21.75" customHeight="1">
      <c r="A3405" s="8" t="s">
        <v>19</v>
      </c>
      <c r="B3405" s="8" t="s">
        <v>21</v>
      </c>
      <c r="C3405" s="9" t="str">
        <f t="shared" si="80"/>
        <v>230124</v>
      </c>
      <c r="D3405" s="9" t="str">
        <f>"230906006"</f>
        <v>230906006</v>
      </c>
      <c r="E3405" s="10">
        <v>0</v>
      </c>
      <c r="F3405" s="10"/>
      <c r="G3405" s="10">
        <v>0</v>
      </c>
      <c r="H3405" s="10"/>
      <c r="I3405" s="10">
        <v>0</v>
      </c>
    </row>
    <row r="3406" spans="1:9" s="2" customFormat="1" ht="21.75" customHeight="1">
      <c r="A3406" s="8" t="s">
        <v>19</v>
      </c>
      <c r="B3406" s="8" t="s">
        <v>21</v>
      </c>
      <c r="C3406" s="9" t="str">
        <f t="shared" si="80"/>
        <v>230124</v>
      </c>
      <c r="D3406" s="9" t="str">
        <f>"230906007"</f>
        <v>230906007</v>
      </c>
      <c r="E3406" s="10">
        <v>0</v>
      </c>
      <c r="F3406" s="10"/>
      <c r="G3406" s="10">
        <v>0</v>
      </c>
      <c r="H3406" s="10"/>
      <c r="I3406" s="10">
        <v>0</v>
      </c>
    </row>
    <row r="3407" spans="1:9" s="2" customFormat="1" ht="21.75" customHeight="1">
      <c r="A3407" s="8" t="s">
        <v>19</v>
      </c>
      <c r="B3407" s="8" t="s">
        <v>21</v>
      </c>
      <c r="C3407" s="9" t="str">
        <f t="shared" si="80"/>
        <v>230124</v>
      </c>
      <c r="D3407" s="9" t="str">
        <f>"230906009"</f>
        <v>230906009</v>
      </c>
      <c r="E3407" s="10">
        <v>0</v>
      </c>
      <c r="F3407" s="10"/>
      <c r="G3407" s="10">
        <v>0</v>
      </c>
      <c r="H3407" s="10"/>
      <c r="I3407" s="10">
        <v>0</v>
      </c>
    </row>
    <row r="3408" spans="1:9" s="2" customFormat="1" ht="21.75" customHeight="1">
      <c r="A3408" s="8" t="s">
        <v>19</v>
      </c>
      <c r="B3408" s="8" t="s">
        <v>21</v>
      </c>
      <c r="C3408" s="9" t="str">
        <f t="shared" si="80"/>
        <v>230124</v>
      </c>
      <c r="D3408" s="9" t="str">
        <f>"230906011"</f>
        <v>230906011</v>
      </c>
      <c r="E3408" s="10">
        <v>0</v>
      </c>
      <c r="F3408" s="10"/>
      <c r="G3408" s="10">
        <v>0</v>
      </c>
      <c r="H3408" s="10"/>
      <c r="I3408" s="10">
        <v>0</v>
      </c>
    </row>
    <row r="3409" spans="1:9" s="2" customFormat="1" ht="21.75" customHeight="1">
      <c r="A3409" s="8" t="s">
        <v>19</v>
      </c>
      <c r="B3409" s="8" t="s">
        <v>21</v>
      </c>
      <c r="C3409" s="9" t="str">
        <f t="shared" si="80"/>
        <v>230124</v>
      </c>
      <c r="D3409" s="9" t="str">
        <f>"230906015"</f>
        <v>230906015</v>
      </c>
      <c r="E3409" s="10">
        <v>0</v>
      </c>
      <c r="F3409" s="10"/>
      <c r="G3409" s="10">
        <v>0</v>
      </c>
      <c r="H3409" s="10"/>
      <c r="I3409" s="10">
        <v>0</v>
      </c>
    </row>
    <row r="3410" spans="1:9" s="1" customFormat="1" ht="21.75" customHeight="1">
      <c r="A3410" s="8" t="s">
        <v>19</v>
      </c>
      <c r="B3410" s="8" t="s">
        <v>22</v>
      </c>
      <c r="C3410" s="9" t="str">
        <f t="shared" ref="C3410:C3428" si="81">"230125"</f>
        <v>230125</v>
      </c>
      <c r="D3410" s="9" t="str">
        <f>"230906025"</f>
        <v>230906025</v>
      </c>
      <c r="E3410" s="10">
        <v>83.55</v>
      </c>
      <c r="F3410" s="10"/>
      <c r="G3410" s="10">
        <v>73.5</v>
      </c>
      <c r="H3410" s="10"/>
      <c r="I3410" s="10">
        <v>77.52</v>
      </c>
    </row>
    <row r="3411" spans="1:9" ht="21.75" customHeight="1">
      <c r="A3411" s="8" t="s">
        <v>19</v>
      </c>
      <c r="B3411" s="8" t="s">
        <v>22</v>
      </c>
      <c r="C3411" s="9" t="str">
        <f t="shared" si="81"/>
        <v>230125</v>
      </c>
      <c r="D3411" s="9" t="str">
        <f>"230906030"</f>
        <v>230906030</v>
      </c>
      <c r="E3411" s="10">
        <v>74.92</v>
      </c>
      <c r="F3411" s="10"/>
      <c r="G3411" s="10">
        <v>78</v>
      </c>
      <c r="H3411" s="10"/>
      <c r="I3411" s="10">
        <v>76.77</v>
      </c>
    </row>
    <row r="3412" spans="1:9" ht="21.75" customHeight="1">
      <c r="A3412" s="8" t="s">
        <v>19</v>
      </c>
      <c r="B3412" s="8" t="s">
        <v>22</v>
      </c>
      <c r="C3412" s="9" t="str">
        <f t="shared" si="81"/>
        <v>230125</v>
      </c>
      <c r="D3412" s="9" t="str">
        <f>"230906018"</f>
        <v>230906018</v>
      </c>
      <c r="E3412" s="10">
        <v>76.06</v>
      </c>
      <c r="F3412" s="10"/>
      <c r="G3412" s="10">
        <v>77</v>
      </c>
      <c r="H3412" s="10"/>
      <c r="I3412" s="10">
        <v>76.62</v>
      </c>
    </row>
    <row r="3413" spans="1:9" s="1" customFormat="1" ht="21.75" customHeight="1">
      <c r="A3413" s="8" t="s">
        <v>19</v>
      </c>
      <c r="B3413" s="8" t="s">
        <v>22</v>
      </c>
      <c r="C3413" s="9" t="str">
        <f t="shared" si="81"/>
        <v>230125</v>
      </c>
      <c r="D3413" s="9" t="str">
        <f>"230906028"</f>
        <v>230906028</v>
      </c>
      <c r="E3413" s="10">
        <v>80.33</v>
      </c>
      <c r="F3413" s="10"/>
      <c r="G3413" s="10">
        <v>73.5</v>
      </c>
      <c r="H3413" s="10"/>
      <c r="I3413" s="10">
        <v>76.23</v>
      </c>
    </row>
    <row r="3414" spans="1:9" ht="21.75" customHeight="1">
      <c r="A3414" s="8" t="s">
        <v>19</v>
      </c>
      <c r="B3414" s="8" t="s">
        <v>22</v>
      </c>
      <c r="C3414" s="9" t="str">
        <f t="shared" si="81"/>
        <v>230125</v>
      </c>
      <c r="D3414" s="9" t="str">
        <f>"230906026"</f>
        <v>230906026</v>
      </c>
      <c r="E3414" s="10">
        <v>77.55</v>
      </c>
      <c r="F3414" s="10"/>
      <c r="G3414" s="10">
        <v>73.5</v>
      </c>
      <c r="H3414" s="10"/>
      <c r="I3414" s="10">
        <v>75.12</v>
      </c>
    </row>
    <row r="3415" spans="1:9" ht="21.75" customHeight="1">
      <c r="A3415" s="8" t="s">
        <v>19</v>
      </c>
      <c r="B3415" s="8" t="s">
        <v>22</v>
      </c>
      <c r="C3415" s="9" t="str">
        <f t="shared" si="81"/>
        <v>230125</v>
      </c>
      <c r="D3415" s="9" t="str">
        <f>"230906101"</f>
        <v>230906101</v>
      </c>
      <c r="E3415" s="10">
        <v>76.66</v>
      </c>
      <c r="F3415" s="10"/>
      <c r="G3415" s="10">
        <v>74</v>
      </c>
      <c r="H3415" s="10"/>
      <c r="I3415" s="10">
        <v>75.06</v>
      </c>
    </row>
    <row r="3416" spans="1:9" ht="21.75" customHeight="1">
      <c r="A3416" s="8" t="s">
        <v>19</v>
      </c>
      <c r="B3416" s="8" t="s">
        <v>22</v>
      </c>
      <c r="C3416" s="9" t="str">
        <f t="shared" si="81"/>
        <v>230125</v>
      </c>
      <c r="D3416" s="9" t="str">
        <f>"230906024"</f>
        <v>230906024</v>
      </c>
      <c r="E3416" s="10">
        <v>69.17</v>
      </c>
      <c r="F3416" s="10"/>
      <c r="G3416" s="10">
        <v>74</v>
      </c>
      <c r="H3416" s="10"/>
      <c r="I3416" s="10">
        <v>72.069999999999993</v>
      </c>
    </row>
    <row r="3417" spans="1:9" s="1" customFormat="1" ht="21.75" customHeight="1">
      <c r="A3417" s="8" t="s">
        <v>19</v>
      </c>
      <c r="B3417" s="8" t="s">
        <v>22</v>
      </c>
      <c r="C3417" s="9" t="str">
        <f t="shared" si="81"/>
        <v>230125</v>
      </c>
      <c r="D3417" s="9" t="str">
        <f>"230906023"</f>
        <v>230906023</v>
      </c>
      <c r="E3417" s="10">
        <v>75.84</v>
      </c>
      <c r="F3417" s="10"/>
      <c r="G3417" s="10">
        <v>69</v>
      </c>
      <c r="H3417" s="10"/>
      <c r="I3417" s="10">
        <v>71.739999999999995</v>
      </c>
    </row>
    <row r="3418" spans="1:9" ht="21.75" customHeight="1">
      <c r="A3418" s="8" t="s">
        <v>19</v>
      </c>
      <c r="B3418" s="8" t="s">
        <v>22</v>
      </c>
      <c r="C3418" s="9" t="str">
        <f t="shared" si="81"/>
        <v>230125</v>
      </c>
      <c r="D3418" s="9" t="str">
        <f>"230906022"</f>
        <v>230906022</v>
      </c>
      <c r="E3418" s="10">
        <v>69.97</v>
      </c>
      <c r="F3418" s="10"/>
      <c r="G3418" s="10">
        <v>71</v>
      </c>
      <c r="H3418" s="10"/>
      <c r="I3418" s="10">
        <v>70.59</v>
      </c>
    </row>
    <row r="3419" spans="1:9" s="1" customFormat="1" ht="21.75" customHeight="1">
      <c r="A3419" s="8" t="s">
        <v>19</v>
      </c>
      <c r="B3419" s="8" t="s">
        <v>22</v>
      </c>
      <c r="C3419" s="9" t="str">
        <f t="shared" si="81"/>
        <v>230125</v>
      </c>
      <c r="D3419" s="9" t="str">
        <f>"230906103"</f>
        <v>230906103</v>
      </c>
      <c r="E3419" s="10">
        <v>67.569999999999993</v>
      </c>
      <c r="F3419" s="10"/>
      <c r="G3419" s="10">
        <v>72.5</v>
      </c>
      <c r="H3419" s="10"/>
      <c r="I3419" s="10">
        <v>70.53</v>
      </c>
    </row>
    <row r="3420" spans="1:9" ht="21.75" customHeight="1">
      <c r="A3420" s="8" t="s">
        <v>19</v>
      </c>
      <c r="B3420" s="8" t="s">
        <v>22</v>
      </c>
      <c r="C3420" s="9" t="str">
        <f t="shared" si="81"/>
        <v>230125</v>
      </c>
      <c r="D3420" s="9" t="str">
        <f>"230906027"</f>
        <v>230906027</v>
      </c>
      <c r="E3420" s="10">
        <v>70.67</v>
      </c>
      <c r="F3420" s="10"/>
      <c r="G3420" s="10">
        <v>67.5</v>
      </c>
      <c r="H3420" s="10"/>
      <c r="I3420" s="10">
        <v>68.77</v>
      </c>
    </row>
    <row r="3421" spans="1:9" ht="21.75" customHeight="1">
      <c r="A3421" s="8" t="s">
        <v>19</v>
      </c>
      <c r="B3421" s="8" t="s">
        <v>22</v>
      </c>
      <c r="C3421" s="9" t="str">
        <f t="shared" si="81"/>
        <v>230125</v>
      </c>
      <c r="D3421" s="9" t="str">
        <f>"230906104"</f>
        <v>230906104</v>
      </c>
      <c r="E3421" s="10">
        <v>64</v>
      </c>
      <c r="F3421" s="10"/>
      <c r="G3421" s="10">
        <v>70.5</v>
      </c>
      <c r="H3421" s="10"/>
      <c r="I3421" s="10">
        <v>67.900000000000006</v>
      </c>
    </row>
    <row r="3422" spans="1:9" s="1" customFormat="1" ht="21.75" customHeight="1">
      <c r="A3422" s="8" t="s">
        <v>19</v>
      </c>
      <c r="B3422" s="8" t="s">
        <v>22</v>
      </c>
      <c r="C3422" s="9" t="str">
        <f t="shared" si="81"/>
        <v>230125</v>
      </c>
      <c r="D3422" s="9" t="str">
        <f>"230906019"</f>
        <v>230906019</v>
      </c>
      <c r="E3422" s="10">
        <v>52.62</v>
      </c>
      <c r="F3422" s="10"/>
      <c r="G3422" s="10">
        <v>74.5</v>
      </c>
      <c r="H3422" s="10"/>
      <c r="I3422" s="10">
        <v>65.75</v>
      </c>
    </row>
    <row r="3423" spans="1:9" ht="21.75" customHeight="1">
      <c r="A3423" s="8" t="s">
        <v>19</v>
      </c>
      <c r="B3423" s="8" t="s">
        <v>22</v>
      </c>
      <c r="C3423" s="9" t="str">
        <f t="shared" si="81"/>
        <v>230125</v>
      </c>
      <c r="D3423" s="9" t="str">
        <f>"230906016"</f>
        <v>230906016</v>
      </c>
      <c r="E3423" s="10">
        <v>0</v>
      </c>
      <c r="F3423" s="10"/>
      <c r="G3423" s="10">
        <v>0</v>
      </c>
      <c r="H3423" s="10"/>
      <c r="I3423" s="10">
        <v>0</v>
      </c>
    </row>
    <row r="3424" spans="1:9" ht="21.75" customHeight="1">
      <c r="A3424" s="8" t="s">
        <v>19</v>
      </c>
      <c r="B3424" s="8" t="s">
        <v>22</v>
      </c>
      <c r="C3424" s="9" t="str">
        <f t="shared" si="81"/>
        <v>230125</v>
      </c>
      <c r="D3424" s="9" t="str">
        <f>"230906017"</f>
        <v>230906017</v>
      </c>
      <c r="E3424" s="10">
        <v>0</v>
      </c>
      <c r="F3424" s="10"/>
      <c r="G3424" s="10">
        <v>0</v>
      </c>
      <c r="H3424" s="10"/>
      <c r="I3424" s="10">
        <v>0</v>
      </c>
    </row>
    <row r="3425" spans="1:9" ht="21.75" customHeight="1">
      <c r="A3425" s="8" t="s">
        <v>19</v>
      </c>
      <c r="B3425" s="8" t="s">
        <v>22</v>
      </c>
      <c r="C3425" s="9" t="str">
        <f t="shared" si="81"/>
        <v>230125</v>
      </c>
      <c r="D3425" s="9" t="str">
        <f>"230906020"</f>
        <v>230906020</v>
      </c>
      <c r="E3425" s="10">
        <v>0</v>
      </c>
      <c r="F3425" s="10"/>
      <c r="G3425" s="10">
        <v>0</v>
      </c>
      <c r="H3425" s="10"/>
      <c r="I3425" s="10">
        <v>0</v>
      </c>
    </row>
    <row r="3426" spans="1:9" ht="21.75" customHeight="1">
      <c r="A3426" s="8" t="s">
        <v>19</v>
      </c>
      <c r="B3426" s="8" t="s">
        <v>22</v>
      </c>
      <c r="C3426" s="9" t="str">
        <f t="shared" si="81"/>
        <v>230125</v>
      </c>
      <c r="D3426" s="9" t="str">
        <f>"230906021"</f>
        <v>230906021</v>
      </c>
      <c r="E3426" s="10">
        <v>0</v>
      </c>
      <c r="F3426" s="10"/>
      <c r="G3426" s="10">
        <v>0</v>
      </c>
      <c r="H3426" s="10"/>
      <c r="I3426" s="10">
        <v>0</v>
      </c>
    </row>
    <row r="3427" spans="1:9" ht="21.75" customHeight="1">
      <c r="A3427" s="8" t="s">
        <v>19</v>
      </c>
      <c r="B3427" s="8" t="s">
        <v>22</v>
      </c>
      <c r="C3427" s="9" t="str">
        <f t="shared" si="81"/>
        <v>230125</v>
      </c>
      <c r="D3427" s="9" t="str">
        <f>"230906029"</f>
        <v>230906029</v>
      </c>
      <c r="E3427" s="10">
        <v>0</v>
      </c>
      <c r="F3427" s="10"/>
      <c r="G3427" s="10">
        <v>0</v>
      </c>
      <c r="H3427" s="10"/>
      <c r="I3427" s="10">
        <v>0</v>
      </c>
    </row>
    <row r="3428" spans="1:9" s="1" customFormat="1" ht="21.75" customHeight="1">
      <c r="A3428" s="8" t="s">
        <v>19</v>
      </c>
      <c r="B3428" s="8" t="s">
        <v>22</v>
      </c>
      <c r="C3428" s="9" t="str">
        <f t="shared" si="81"/>
        <v>230125</v>
      </c>
      <c r="D3428" s="9" t="str">
        <f>"230906102"</f>
        <v>230906102</v>
      </c>
      <c r="E3428" s="10">
        <v>0</v>
      </c>
      <c r="F3428" s="10"/>
      <c r="G3428" s="10">
        <v>0</v>
      </c>
      <c r="H3428" s="10"/>
      <c r="I3428" s="10">
        <v>0</v>
      </c>
    </row>
    <row r="3429" spans="1:9" s="2" customFormat="1" ht="21.75" customHeight="1">
      <c r="A3429" s="8" t="s">
        <v>23</v>
      </c>
      <c r="B3429" s="8" t="s">
        <v>24</v>
      </c>
      <c r="C3429" s="9" t="str">
        <f t="shared" ref="C3429:C3460" si="82">"230126"</f>
        <v>230126</v>
      </c>
      <c r="D3429" s="9" t="str">
        <f>"230906404"</f>
        <v>230906404</v>
      </c>
      <c r="E3429" s="10">
        <v>84.57</v>
      </c>
      <c r="F3429" s="10"/>
      <c r="G3429" s="10">
        <v>75</v>
      </c>
      <c r="H3429" s="10"/>
      <c r="I3429" s="10">
        <v>78.83</v>
      </c>
    </row>
    <row r="3430" spans="1:9" s="3" customFormat="1" ht="21.75" customHeight="1">
      <c r="A3430" s="8" t="s">
        <v>23</v>
      </c>
      <c r="B3430" s="8" t="s">
        <v>24</v>
      </c>
      <c r="C3430" s="9" t="str">
        <f t="shared" si="82"/>
        <v>230126</v>
      </c>
      <c r="D3430" s="9" t="str">
        <f>"230906208"</f>
        <v>230906208</v>
      </c>
      <c r="E3430" s="10">
        <v>84.81</v>
      </c>
      <c r="F3430" s="10"/>
      <c r="G3430" s="10">
        <v>71.5</v>
      </c>
      <c r="H3430" s="10"/>
      <c r="I3430" s="10">
        <v>76.819999999999993</v>
      </c>
    </row>
    <row r="3431" spans="1:9" s="3" customFormat="1" ht="21.75" customHeight="1">
      <c r="A3431" s="8" t="s">
        <v>23</v>
      </c>
      <c r="B3431" s="8" t="s">
        <v>24</v>
      </c>
      <c r="C3431" s="9" t="str">
        <f t="shared" si="82"/>
        <v>230126</v>
      </c>
      <c r="D3431" s="9" t="str">
        <f>"230906118"</f>
        <v>230906118</v>
      </c>
      <c r="E3431" s="10">
        <v>69.41</v>
      </c>
      <c r="F3431" s="10"/>
      <c r="G3431" s="10">
        <v>79.5</v>
      </c>
      <c r="H3431" s="10"/>
      <c r="I3431" s="10">
        <v>75.459999999999994</v>
      </c>
    </row>
    <row r="3432" spans="1:9" s="2" customFormat="1" ht="21.75" customHeight="1">
      <c r="A3432" s="8" t="s">
        <v>23</v>
      </c>
      <c r="B3432" s="8" t="s">
        <v>24</v>
      </c>
      <c r="C3432" s="9" t="str">
        <f t="shared" si="82"/>
        <v>230126</v>
      </c>
      <c r="D3432" s="9" t="str">
        <f>"230906215"</f>
        <v>230906215</v>
      </c>
      <c r="E3432" s="10">
        <v>75.489999999999995</v>
      </c>
      <c r="F3432" s="10"/>
      <c r="G3432" s="10">
        <v>75</v>
      </c>
      <c r="H3432" s="10"/>
      <c r="I3432" s="10">
        <v>75.2</v>
      </c>
    </row>
    <row r="3433" spans="1:9" s="3" customFormat="1" ht="21.75" customHeight="1">
      <c r="A3433" s="8" t="s">
        <v>23</v>
      </c>
      <c r="B3433" s="8" t="s">
        <v>24</v>
      </c>
      <c r="C3433" s="9" t="str">
        <f t="shared" si="82"/>
        <v>230126</v>
      </c>
      <c r="D3433" s="9" t="str">
        <f>"230906223"</f>
        <v>230906223</v>
      </c>
      <c r="E3433" s="10">
        <v>75.489999999999995</v>
      </c>
      <c r="F3433" s="10"/>
      <c r="G3433" s="10">
        <v>75</v>
      </c>
      <c r="H3433" s="10"/>
      <c r="I3433" s="10">
        <v>75.2</v>
      </c>
    </row>
    <row r="3434" spans="1:9" s="2" customFormat="1" ht="21.75" customHeight="1">
      <c r="A3434" s="8" t="s">
        <v>23</v>
      </c>
      <c r="B3434" s="8" t="s">
        <v>24</v>
      </c>
      <c r="C3434" s="9" t="str">
        <f t="shared" si="82"/>
        <v>230126</v>
      </c>
      <c r="D3434" s="9" t="str">
        <f>"230906204"</f>
        <v>230906204</v>
      </c>
      <c r="E3434" s="10">
        <v>78.48</v>
      </c>
      <c r="F3434" s="10"/>
      <c r="G3434" s="10">
        <v>73</v>
      </c>
      <c r="H3434" s="10"/>
      <c r="I3434" s="10">
        <v>75.19</v>
      </c>
    </row>
    <row r="3435" spans="1:9" s="2" customFormat="1" ht="21.75" customHeight="1">
      <c r="A3435" s="8" t="s">
        <v>23</v>
      </c>
      <c r="B3435" s="8" t="s">
        <v>24</v>
      </c>
      <c r="C3435" s="9" t="str">
        <f t="shared" si="82"/>
        <v>230126</v>
      </c>
      <c r="D3435" s="9" t="str">
        <f>"230906121"</f>
        <v>230906121</v>
      </c>
      <c r="E3435" s="10">
        <v>76.06</v>
      </c>
      <c r="F3435" s="10"/>
      <c r="G3435" s="10">
        <v>74.5</v>
      </c>
      <c r="H3435" s="10"/>
      <c r="I3435" s="10">
        <v>75.12</v>
      </c>
    </row>
    <row r="3436" spans="1:9" s="2" customFormat="1" ht="21.75" customHeight="1">
      <c r="A3436" s="8" t="s">
        <v>23</v>
      </c>
      <c r="B3436" s="8" t="s">
        <v>24</v>
      </c>
      <c r="C3436" s="9" t="str">
        <f t="shared" si="82"/>
        <v>230126</v>
      </c>
      <c r="D3436" s="9" t="str">
        <f>"230906228"</f>
        <v>230906228</v>
      </c>
      <c r="E3436" s="10">
        <v>72.39</v>
      </c>
      <c r="F3436" s="10"/>
      <c r="G3436" s="10">
        <v>76.5</v>
      </c>
      <c r="H3436" s="10"/>
      <c r="I3436" s="10">
        <v>74.86</v>
      </c>
    </row>
    <row r="3437" spans="1:9" s="3" customFormat="1" ht="21.75" customHeight="1">
      <c r="A3437" s="8" t="s">
        <v>23</v>
      </c>
      <c r="B3437" s="8" t="s">
        <v>24</v>
      </c>
      <c r="C3437" s="9" t="str">
        <f t="shared" si="82"/>
        <v>230126</v>
      </c>
      <c r="D3437" s="9" t="str">
        <f>"230906214"</f>
        <v>230906214</v>
      </c>
      <c r="E3437" s="10">
        <v>80.09</v>
      </c>
      <c r="F3437" s="10"/>
      <c r="G3437" s="10">
        <v>71</v>
      </c>
      <c r="H3437" s="10"/>
      <c r="I3437" s="10">
        <v>74.64</v>
      </c>
    </row>
    <row r="3438" spans="1:9" s="2" customFormat="1" ht="21.75" customHeight="1">
      <c r="A3438" s="8" t="s">
        <v>23</v>
      </c>
      <c r="B3438" s="8" t="s">
        <v>24</v>
      </c>
      <c r="C3438" s="9" t="str">
        <f t="shared" si="82"/>
        <v>230126</v>
      </c>
      <c r="D3438" s="9" t="str">
        <f>"230906117"</f>
        <v>230906117</v>
      </c>
      <c r="E3438" s="10">
        <v>73.31</v>
      </c>
      <c r="F3438" s="10"/>
      <c r="G3438" s="10">
        <v>75.5</v>
      </c>
      <c r="H3438" s="10"/>
      <c r="I3438" s="10">
        <v>74.62</v>
      </c>
    </row>
    <row r="3439" spans="1:9" s="3" customFormat="1" ht="21.75" customHeight="1">
      <c r="A3439" s="8" t="s">
        <v>23</v>
      </c>
      <c r="B3439" s="8" t="s">
        <v>24</v>
      </c>
      <c r="C3439" s="9" t="str">
        <f t="shared" si="82"/>
        <v>230126</v>
      </c>
      <c r="D3439" s="9" t="str">
        <f>"230906324"</f>
        <v>230906324</v>
      </c>
      <c r="E3439" s="10">
        <v>72.86</v>
      </c>
      <c r="F3439" s="10"/>
      <c r="G3439" s="10">
        <v>75.5</v>
      </c>
      <c r="H3439" s="10"/>
      <c r="I3439" s="10">
        <v>74.44</v>
      </c>
    </row>
    <row r="3440" spans="1:9" s="2" customFormat="1" ht="21.75" customHeight="1">
      <c r="A3440" s="8" t="s">
        <v>23</v>
      </c>
      <c r="B3440" s="8" t="s">
        <v>24</v>
      </c>
      <c r="C3440" s="9" t="str">
        <f t="shared" si="82"/>
        <v>230126</v>
      </c>
      <c r="D3440" s="9" t="str">
        <f>"230906129"</f>
        <v>230906129</v>
      </c>
      <c r="E3440" s="10">
        <v>67.55</v>
      </c>
      <c r="F3440" s="10"/>
      <c r="G3440" s="10">
        <v>78</v>
      </c>
      <c r="H3440" s="10"/>
      <c r="I3440" s="10">
        <v>73.819999999999993</v>
      </c>
    </row>
    <row r="3441" spans="1:9" s="2" customFormat="1" ht="21.75" customHeight="1">
      <c r="A3441" s="8" t="s">
        <v>23</v>
      </c>
      <c r="B3441" s="8" t="s">
        <v>24</v>
      </c>
      <c r="C3441" s="9" t="str">
        <f t="shared" si="82"/>
        <v>230126</v>
      </c>
      <c r="D3441" s="9" t="str">
        <f>"230906407"</f>
        <v>230906407</v>
      </c>
      <c r="E3441" s="10">
        <v>77.900000000000006</v>
      </c>
      <c r="F3441" s="10"/>
      <c r="G3441" s="10">
        <v>71</v>
      </c>
      <c r="H3441" s="10"/>
      <c r="I3441" s="10">
        <v>73.760000000000005</v>
      </c>
    </row>
    <row r="3442" spans="1:9" s="2" customFormat="1" ht="21.75" customHeight="1">
      <c r="A3442" s="8" t="s">
        <v>23</v>
      </c>
      <c r="B3442" s="8" t="s">
        <v>24</v>
      </c>
      <c r="C3442" s="9" t="str">
        <f t="shared" si="82"/>
        <v>230126</v>
      </c>
      <c r="D3442" s="9" t="str">
        <f>"230906119"</f>
        <v>230906119</v>
      </c>
      <c r="E3442" s="10">
        <v>67.55</v>
      </c>
      <c r="F3442" s="10"/>
      <c r="G3442" s="10">
        <v>76.5</v>
      </c>
      <c r="H3442" s="10"/>
      <c r="I3442" s="10">
        <v>72.92</v>
      </c>
    </row>
    <row r="3443" spans="1:9" s="2" customFormat="1" ht="21.75" customHeight="1">
      <c r="A3443" s="8" t="s">
        <v>23</v>
      </c>
      <c r="B3443" s="8" t="s">
        <v>24</v>
      </c>
      <c r="C3443" s="9" t="str">
        <f t="shared" si="82"/>
        <v>230126</v>
      </c>
      <c r="D3443" s="9" t="str">
        <f>"230906203"</f>
        <v>230906203</v>
      </c>
      <c r="E3443" s="10">
        <v>69.31</v>
      </c>
      <c r="F3443" s="10"/>
      <c r="G3443" s="10">
        <v>75</v>
      </c>
      <c r="H3443" s="10"/>
      <c r="I3443" s="10">
        <v>72.72</v>
      </c>
    </row>
    <row r="3444" spans="1:9" s="2" customFormat="1" ht="21.75" customHeight="1">
      <c r="A3444" s="8" t="s">
        <v>23</v>
      </c>
      <c r="B3444" s="8" t="s">
        <v>24</v>
      </c>
      <c r="C3444" s="9" t="str">
        <f t="shared" si="82"/>
        <v>230126</v>
      </c>
      <c r="D3444" s="9" t="str">
        <f>"230906227"</f>
        <v>230906227</v>
      </c>
      <c r="E3444" s="10">
        <v>70.430000000000007</v>
      </c>
      <c r="F3444" s="10"/>
      <c r="G3444" s="10">
        <v>74</v>
      </c>
      <c r="H3444" s="10"/>
      <c r="I3444" s="10">
        <v>72.569999999999993</v>
      </c>
    </row>
    <row r="3445" spans="1:9" s="2" customFormat="1" ht="21.75" customHeight="1">
      <c r="A3445" s="8" t="s">
        <v>23</v>
      </c>
      <c r="B3445" s="8" t="s">
        <v>24</v>
      </c>
      <c r="C3445" s="9" t="str">
        <f t="shared" si="82"/>
        <v>230126</v>
      </c>
      <c r="D3445" s="9" t="str">
        <f>"230906217"</f>
        <v>230906217</v>
      </c>
      <c r="E3445" s="10">
        <v>74.010000000000005</v>
      </c>
      <c r="F3445" s="10"/>
      <c r="G3445" s="10">
        <v>71.5</v>
      </c>
      <c r="H3445" s="10"/>
      <c r="I3445" s="10">
        <v>72.5</v>
      </c>
    </row>
    <row r="3446" spans="1:9" s="2" customFormat="1" ht="21.75" customHeight="1">
      <c r="A3446" s="8" t="s">
        <v>23</v>
      </c>
      <c r="B3446" s="8" t="s">
        <v>24</v>
      </c>
      <c r="C3446" s="9" t="str">
        <f t="shared" si="82"/>
        <v>230126</v>
      </c>
      <c r="D3446" s="9" t="str">
        <f>"230906305"</f>
        <v>230906305</v>
      </c>
      <c r="E3446" s="10">
        <v>70.900000000000006</v>
      </c>
      <c r="F3446" s="10"/>
      <c r="G3446" s="10">
        <v>73.5</v>
      </c>
      <c r="H3446" s="10"/>
      <c r="I3446" s="10">
        <v>72.459999999999994</v>
      </c>
    </row>
    <row r="3447" spans="1:9" s="2" customFormat="1" ht="21.75" customHeight="1">
      <c r="A3447" s="8" t="s">
        <v>23</v>
      </c>
      <c r="B3447" s="8" t="s">
        <v>24</v>
      </c>
      <c r="C3447" s="9" t="str">
        <f t="shared" si="82"/>
        <v>230126</v>
      </c>
      <c r="D3447" s="9" t="str">
        <f>"230906412"</f>
        <v>230906412</v>
      </c>
      <c r="E3447" s="10">
        <v>72.62</v>
      </c>
      <c r="F3447" s="10"/>
      <c r="G3447" s="10">
        <v>72</v>
      </c>
      <c r="H3447" s="10"/>
      <c r="I3447" s="10">
        <v>72.25</v>
      </c>
    </row>
    <row r="3448" spans="1:9" s="2" customFormat="1" ht="21.75" customHeight="1">
      <c r="A3448" s="8" t="s">
        <v>23</v>
      </c>
      <c r="B3448" s="8" t="s">
        <v>24</v>
      </c>
      <c r="C3448" s="9" t="str">
        <f t="shared" si="82"/>
        <v>230126</v>
      </c>
      <c r="D3448" s="9" t="str">
        <f>"230906219"</f>
        <v>230906219</v>
      </c>
      <c r="E3448" s="10">
        <v>74</v>
      </c>
      <c r="F3448" s="10"/>
      <c r="G3448" s="10">
        <v>71</v>
      </c>
      <c r="H3448" s="10"/>
      <c r="I3448" s="10">
        <v>72.2</v>
      </c>
    </row>
    <row r="3449" spans="1:9" s="3" customFormat="1" ht="21.75" customHeight="1">
      <c r="A3449" s="8" t="s">
        <v>23</v>
      </c>
      <c r="B3449" s="8" t="s">
        <v>24</v>
      </c>
      <c r="C3449" s="9" t="str">
        <f t="shared" si="82"/>
        <v>230126</v>
      </c>
      <c r="D3449" s="9" t="str">
        <f>"230906402"</f>
        <v>230906402</v>
      </c>
      <c r="E3449" s="10">
        <v>66.86</v>
      </c>
      <c r="F3449" s="10"/>
      <c r="G3449" s="10">
        <v>75.5</v>
      </c>
      <c r="H3449" s="10"/>
      <c r="I3449" s="10">
        <v>72.040000000000006</v>
      </c>
    </row>
    <row r="3450" spans="1:9" s="2" customFormat="1" ht="21.75" customHeight="1">
      <c r="A3450" s="8" t="s">
        <v>23</v>
      </c>
      <c r="B3450" s="8" t="s">
        <v>24</v>
      </c>
      <c r="C3450" s="9" t="str">
        <f t="shared" si="82"/>
        <v>230126</v>
      </c>
      <c r="D3450" s="9" t="str">
        <f>"230906209"</f>
        <v>230906209</v>
      </c>
      <c r="E3450" s="10">
        <v>69.739999999999995</v>
      </c>
      <c r="F3450" s="10"/>
      <c r="G3450" s="10">
        <v>73.5</v>
      </c>
      <c r="H3450" s="10"/>
      <c r="I3450" s="10">
        <v>72</v>
      </c>
    </row>
    <row r="3451" spans="1:9" s="3" customFormat="1" ht="21.75" customHeight="1">
      <c r="A3451" s="8" t="s">
        <v>23</v>
      </c>
      <c r="B3451" s="8" t="s">
        <v>24</v>
      </c>
      <c r="C3451" s="9" t="str">
        <f t="shared" si="82"/>
        <v>230126</v>
      </c>
      <c r="D3451" s="9" t="str">
        <f>"230906123"</f>
        <v>230906123</v>
      </c>
      <c r="E3451" s="10">
        <v>68.150000000000006</v>
      </c>
      <c r="F3451" s="10"/>
      <c r="G3451" s="10">
        <v>74.5</v>
      </c>
      <c r="H3451" s="10"/>
      <c r="I3451" s="10">
        <v>71.959999999999994</v>
      </c>
    </row>
    <row r="3452" spans="1:9" s="2" customFormat="1" ht="21.75" customHeight="1">
      <c r="A3452" s="8" t="s">
        <v>23</v>
      </c>
      <c r="B3452" s="8" t="s">
        <v>24</v>
      </c>
      <c r="C3452" s="9" t="str">
        <f t="shared" si="82"/>
        <v>230126</v>
      </c>
      <c r="D3452" s="9" t="str">
        <f>"230906328"</f>
        <v>230906328</v>
      </c>
      <c r="E3452" s="10">
        <v>64.91</v>
      </c>
      <c r="F3452" s="10"/>
      <c r="G3452" s="10">
        <v>76.5</v>
      </c>
      <c r="H3452" s="10"/>
      <c r="I3452" s="10">
        <v>71.86</v>
      </c>
    </row>
    <row r="3453" spans="1:9" s="3" customFormat="1" ht="21.75" customHeight="1">
      <c r="A3453" s="8" t="s">
        <v>23</v>
      </c>
      <c r="B3453" s="8" t="s">
        <v>24</v>
      </c>
      <c r="C3453" s="9" t="str">
        <f t="shared" si="82"/>
        <v>230126</v>
      </c>
      <c r="D3453" s="9" t="str">
        <f>"230906308"</f>
        <v>230906308</v>
      </c>
      <c r="E3453" s="10">
        <v>69.05</v>
      </c>
      <c r="F3453" s="10"/>
      <c r="G3453" s="10">
        <v>73.5</v>
      </c>
      <c r="H3453" s="10"/>
      <c r="I3453" s="10">
        <v>71.72</v>
      </c>
    </row>
    <row r="3454" spans="1:9" s="2" customFormat="1" ht="21.75" customHeight="1">
      <c r="A3454" s="8" t="s">
        <v>23</v>
      </c>
      <c r="B3454" s="8" t="s">
        <v>24</v>
      </c>
      <c r="C3454" s="9" t="str">
        <f t="shared" si="82"/>
        <v>230126</v>
      </c>
      <c r="D3454" s="9" t="str">
        <f>"230906109"</f>
        <v>230906109</v>
      </c>
      <c r="E3454" s="10">
        <v>69.05</v>
      </c>
      <c r="F3454" s="10"/>
      <c r="G3454" s="10">
        <v>72</v>
      </c>
      <c r="H3454" s="10"/>
      <c r="I3454" s="10">
        <v>70.819999999999993</v>
      </c>
    </row>
    <row r="3455" spans="1:9" s="2" customFormat="1" ht="21.75" customHeight="1">
      <c r="A3455" s="8" t="s">
        <v>23</v>
      </c>
      <c r="B3455" s="8" t="s">
        <v>24</v>
      </c>
      <c r="C3455" s="9" t="str">
        <f t="shared" si="82"/>
        <v>230126</v>
      </c>
      <c r="D3455" s="9" t="str">
        <f>"230906110"</f>
        <v>230906110</v>
      </c>
      <c r="E3455" s="10">
        <v>71.83</v>
      </c>
      <c r="F3455" s="10"/>
      <c r="G3455" s="10">
        <v>70</v>
      </c>
      <c r="H3455" s="10"/>
      <c r="I3455" s="10">
        <v>70.73</v>
      </c>
    </row>
    <row r="3456" spans="1:9" s="2" customFormat="1" ht="21.75" customHeight="1">
      <c r="A3456" s="8" t="s">
        <v>23</v>
      </c>
      <c r="B3456" s="8" t="s">
        <v>24</v>
      </c>
      <c r="C3456" s="9" t="str">
        <f t="shared" si="82"/>
        <v>230126</v>
      </c>
      <c r="D3456" s="9" t="str">
        <f>"230906408"</f>
        <v>230906408</v>
      </c>
      <c r="E3456" s="10">
        <v>71.599999999999994</v>
      </c>
      <c r="F3456" s="10"/>
      <c r="G3456" s="10">
        <v>70</v>
      </c>
      <c r="H3456" s="10"/>
      <c r="I3456" s="10">
        <v>70.64</v>
      </c>
    </row>
    <row r="3457" spans="1:9" s="3" customFormat="1" ht="21.75" customHeight="1">
      <c r="A3457" s="8" t="s">
        <v>23</v>
      </c>
      <c r="B3457" s="8" t="s">
        <v>24</v>
      </c>
      <c r="C3457" s="9" t="str">
        <f t="shared" si="82"/>
        <v>230126</v>
      </c>
      <c r="D3457" s="9" t="str">
        <f>"230906114"</f>
        <v>230906114</v>
      </c>
      <c r="E3457" s="10">
        <v>59.28</v>
      </c>
      <c r="F3457" s="10"/>
      <c r="G3457" s="10">
        <v>78</v>
      </c>
      <c r="H3457" s="10"/>
      <c r="I3457" s="10">
        <v>70.510000000000005</v>
      </c>
    </row>
    <row r="3458" spans="1:9" s="2" customFormat="1" ht="21.75" customHeight="1">
      <c r="A3458" s="8" t="s">
        <v>23</v>
      </c>
      <c r="B3458" s="8" t="s">
        <v>24</v>
      </c>
      <c r="C3458" s="9" t="str">
        <f t="shared" si="82"/>
        <v>230126</v>
      </c>
      <c r="D3458" s="9" t="str">
        <f>"230906229"</f>
        <v>230906229</v>
      </c>
      <c r="E3458" s="10">
        <v>71.83</v>
      </c>
      <c r="F3458" s="10"/>
      <c r="G3458" s="10">
        <v>69</v>
      </c>
      <c r="H3458" s="10"/>
      <c r="I3458" s="10">
        <v>70.13</v>
      </c>
    </row>
    <row r="3459" spans="1:9" s="3" customFormat="1" ht="21.75" customHeight="1">
      <c r="A3459" s="8" t="s">
        <v>23</v>
      </c>
      <c r="B3459" s="8" t="s">
        <v>24</v>
      </c>
      <c r="C3459" s="9" t="str">
        <f t="shared" si="82"/>
        <v>230126</v>
      </c>
      <c r="D3459" s="9" t="str">
        <f>"230906216"</f>
        <v>230906216</v>
      </c>
      <c r="E3459" s="10">
        <v>69.5</v>
      </c>
      <c r="F3459" s="10"/>
      <c r="G3459" s="10">
        <v>70.5</v>
      </c>
      <c r="H3459" s="10"/>
      <c r="I3459" s="10">
        <v>70.099999999999994</v>
      </c>
    </row>
    <row r="3460" spans="1:9" s="2" customFormat="1" ht="21.75" customHeight="1">
      <c r="A3460" s="8" t="s">
        <v>23</v>
      </c>
      <c r="B3460" s="8" t="s">
        <v>24</v>
      </c>
      <c r="C3460" s="9" t="str">
        <f t="shared" si="82"/>
        <v>230126</v>
      </c>
      <c r="D3460" s="9" t="str">
        <f>"230906306"</f>
        <v>230906306</v>
      </c>
      <c r="E3460" s="10">
        <v>74.22</v>
      </c>
      <c r="F3460" s="10"/>
      <c r="G3460" s="10">
        <v>67</v>
      </c>
      <c r="H3460" s="10"/>
      <c r="I3460" s="10">
        <v>69.89</v>
      </c>
    </row>
    <row r="3461" spans="1:9" s="2" customFormat="1" ht="21.75" customHeight="1">
      <c r="A3461" s="8" t="s">
        <v>23</v>
      </c>
      <c r="B3461" s="8" t="s">
        <v>24</v>
      </c>
      <c r="C3461" s="9" t="str">
        <f t="shared" ref="C3461:C3492" si="83">"230126"</f>
        <v>230126</v>
      </c>
      <c r="D3461" s="9" t="str">
        <f>"230906313"</f>
        <v>230906313</v>
      </c>
      <c r="E3461" s="10">
        <v>65.95</v>
      </c>
      <c r="F3461" s="10"/>
      <c r="G3461" s="10">
        <v>72.5</v>
      </c>
      <c r="H3461" s="10"/>
      <c r="I3461" s="10">
        <v>69.88</v>
      </c>
    </row>
    <row r="3462" spans="1:9" s="2" customFormat="1" ht="21.75" customHeight="1">
      <c r="A3462" s="8" t="s">
        <v>23</v>
      </c>
      <c r="B3462" s="8" t="s">
        <v>24</v>
      </c>
      <c r="C3462" s="9" t="str">
        <f t="shared" si="83"/>
        <v>230126</v>
      </c>
      <c r="D3462" s="9" t="str">
        <f>"230906316"</f>
        <v>230906316</v>
      </c>
      <c r="E3462" s="10">
        <v>62.83</v>
      </c>
      <c r="F3462" s="10"/>
      <c r="G3462" s="10">
        <v>74.5</v>
      </c>
      <c r="H3462" s="10"/>
      <c r="I3462" s="10">
        <v>69.83</v>
      </c>
    </row>
    <row r="3463" spans="1:9" s="3" customFormat="1" ht="21.75" customHeight="1">
      <c r="A3463" s="8" t="s">
        <v>23</v>
      </c>
      <c r="B3463" s="8" t="s">
        <v>24</v>
      </c>
      <c r="C3463" s="9" t="str">
        <f t="shared" si="83"/>
        <v>230126</v>
      </c>
      <c r="D3463" s="9" t="str">
        <f>"230906327"</f>
        <v>230906327</v>
      </c>
      <c r="E3463" s="10">
        <v>68.64</v>
      </c>
      <c r="F3463" s="10"/>
      <c r="G3463" s="10">
        <v>70.5</v>
      </c>
      <c r="H3463" s="10"/>
      <c r="I3463" s="10">
        <v>69.760000000000005</v>
      </c>
    </row>
    <row r="3464" spans="1:9" s="3" customFormat="1" ht="21.75" customHeight="1">
      <c r="A3464" s="8" t="s">
        <v>23</v>
      </c>
      <c r="B3464" s="8" t="s">
        <v>24</v>
      </c>
      <c r="C3464" s="9" t="str">
        <f t="shared" si="83"/>
        <v>230126</v>
      </c>
      <c r="D3464" s="9" t="str">
        <f>"230906105"</f>
        <v>230906105</v>
      </c>
      <c r="E3464" s="10">
        <v>73.069999999999993</v>
      </c>
      <c r="F3464" s="10"/>
      <c r="G3464" s="10">
        <v>67.5</v>
      </c>
      <c r="H3464" s="10"/>
      <c r="I3464" s="10">
        <v>69.73</v>
      </c>
    </row>
    <row r="3465" spans="1:9" s="2" customFormat="1" ht="21.75" customHeight="1">
      <c r="A3465" s="8" t="s">
        <v>23</v>
      </c>
      <c r="B3465" s="8" t="s">
        <v>24</v>
      </c>
      <c r="C3465" s="9" t="str">
        <f t="shared" si="83"/>
        <v>230126</v>
      </c>
      <c r="D3465" s="9" t="str">
        <f>"230906108"</f>
        <v>230906108</v>
      </c>
      <c r="E3465" s="10">
        <v>65.72</v>
      </c>
      <c r="F3465" s="10"/>
      <c r="G3465" s="10">
        <v>72</v>
      </c>
      <c r="H3465" s="10"/>
      <c r="I3465" s="10">
        <v>69.489999999999995</v>
      </c>
    </row>
    <row r="3466" spans="1:9" s="3" customFormat="1" ht="21.75" customHeight="1">
      <c r="A3466" s="8" t="s">
        <v>23</v>
      </c>
      <c r="B3466" s="8" t="s">
        <v>24</v>
      </c>
      <c r="C3466" s="9" t="str">
        <f t="shared" si="83"/>
        <v>230126</v>
      </c>
      <c r="D3466" s="9" t="str">
        <f>"230906125"</f>
        <v>230906125</v>
      </c>
      <c r="E3466" s="10">
        <v>70.650000000000006</v>
      </c>
      <c r="F3466" s="10"/>
      <c r="G3466" s="10">
        <v>68.5</v>
      </c>
      <c r="H3466" s="10"/>
      <c r="I3466" s="10">
        <v>69.36</v>
      </c>
    </row>
    <row r="3467" spans="1:9" s="2" customFormat="1" ht="21.75" customHeight="1">
      <c r="A3467" s="8" t="s">
        <v>23</v>
      </c>
      <c r="B3467" s="8" t="s">
        <v>24</v>
      </c>
      <c r="C3467" s="9" t="str">
        <f t="shared" si="83"/>
        <v>230126</v>
      </c>
      <c r="D3467" s="9" t="str">
        <f>"230906301"</f>
        <v>230906301</v>
      </c>
      <c r="E3467" s="10">
        <v>72.739999999999995</v>
      </c>
      <c r="F3467" s="10"/>
      <c r="G3467" s="10">
        <v>67</v>
      </c>
      <c r="H3467" s="10"/>
      <c r="I3467" s="10">
        <v>69.3</v>
      </c>
    </row>
    <row r="3468" spans="1:9" s="2" customFormat="1" ht="21.75" customHeight="1">
      <c r="A3468" s="8" t="s">
        <v>23</v>
      </c>
      <c r="B3468" s="8" t="s">
        <v>24</v>
      </c>
      <c r="C3468" s="9" t="str">
        <f t="shared" si="83"/>
        <v>230126</v>
      </c>
      <c r="D3468" s="9" t="str">
        <f>"230906225"</f>
        <v>230906225</v>
      </c>
      <c r="E3468" s="10">
        <v>72.72</v>
      </c>
      <c r="F3468" s="10"/>
      <c r="G3468" s="10">
        <v>67</v>
      </c>
      <c r="H3468" s="10"/>
      <c r="I3468" s="10">
        <v>69.290000000000006</v>
      </c>
    </row>
    <row r="3469" spans="1:9" s="3" customFormat="1" ht="21.75" customHeight="1">
      <c r="A3469" s="8" t="s">
        <v>23</v>
      </c>
      <c r="B3469" s="8" t="s">
        <v>24</v>
      </c>
      <c r="C3469" s="9" t="str">
        <f t="shared" si="83"/>
        <v>230126</v>
      </c>
      <c r="D3469" s="9" t="str">
        <f>"230906403"</f>
        <v>230906403</v>
      </c>
      <c r="E3469" s="10">
        <v>70.900000000000006</v>
      </c>
      <c r="F3469" s="10"/>
      <c r="G3469" s="10">
        <v>68</v>
      </c>
      <c r="H3469" s="10"/>
      <c r="I3469" s="10">
        <v>69.16</v>
      </c>
    </row>
    <row r="3470" spans="1:9" s="2" customFormat="1" ht="21.75" customHeight="1">
      <c r="A3470" s="8" t="s">
        <v>23</v>
      </c>
      <c r="B3470" s="8" t="s">
        <v>24</v>
      </c>
      <c r="C3470" s="9" t="str">
        <f t="shared" si="83"/>
        <v>230126</v>
      </c>
      <c r="D3470" s="9" t="str">
        <f>"230906325"</f>
        <v>230906325</v>
      </c>
      <c r="E3470" s="10">
        <v>70.09</v>
      </c>
      <c r="F3470" s="10"/>
      <c r="G3470" s="10">
        <v>68</v>
      </c>
      <c r="H3470" s="10"/>
      <c r="I3470" s="10">
        <v>68.84</v>
      </c>
    </row>
    <row r="3471" spans="1:9" s="2" customFormat="1" ht="21.75" customHeight="1">
      <c r="A3471" s="8" t="s">
        <v>23</v>
      </c>
      <c r="B3471" s="8" t="s">
        <v>24</v>
      </c>
      <c r="C3471" s="9" t="str">
        <f t="shared" si="83"/>
        <v>230126</v>
      </c>
      <c r="D3471" s="9" t="str">
        <f>"230906218"</f>
        <v>230906218</v>
      </c>
      <c r="E3471" s="10">
        <v>67.58</v>
      </c>
      <c r="F3471" s="10"/>
      <c r="G3471" s="10">
        <v>69.5</v>
      </c>
      <c r="H3471" s="10"/>
      <c r="I3471" s="10">
        <v>68.73</v>
      </c>
    </row>
    <row r="3472" spans="1:9" s="3" customFormat="1" ht="21.75" customHeight="1">
      <c r="A3472" s="8" t="s">
        <v>23</v>
      </c>
      <c r="B3472" s="8" t="s">
        <v>24</v>
      </c>
      <c r="C3472" s="9" t="str">
        <f t="shared" si="83"/>
        <v>230126</v>
      </c>
      <c r="D3472" s="9" t="str">
        <f>"230906213"</f>
        <v>230906213</v>
      </c>
      <c r="E3472" s="10">
        <v>67.55</v>
      </c>
      <c r="F3472" s="10"/>
      <c r="G3472" s="10">
        <v>69</v>
      </c>
      <c r="H3472" s="10"/>
      <c r="I3472" s="10">
        <v>68.42</v>
      </c>
    </row>
    <row r="3473" spans="1:9" s="2" customFormat="1" ht="21.75" customHeight="1">
      <c r="A3473" s="8" t="s">
        <v>23</v>
      </c>
      <c r="B3473" s="8" t="s">
        <v>24</v>
      </c>
      <c r="C3473" s="9" t="str">
        <f t="shared" si="83"/>
        <v>230126</v>
      </c>
      <c r="D3473" s="9" t="str">
        <f>"230906406"</f>
        <v>230906406</v>
      </c>
      <c r="E3473" s="10">
        <v>64.23</v>
      </c>
      <c r="F3473" s="10"/>
      <c r="G3473" s="10">
        <v>70.5</v>
      </c>
      <c r="H3473" s="10"/>
      <c r="I3473" s="10">
        <v>67.989999999999995</v>
      </c>
    </row>
    <row r="3474" spans="1:9" s="2" customFormat="1" ht="21.75" customHeight="1">
      <c r="A3474" s="8" t="s">
        <v>23</v>
      </c>
      <c r="B3474" s="8" t="s">
        <v>24</v>
      </c>
      <c r="C3474" s="9" t="str">
        <f t="shared" si="83"/>
        <v>230126</v>
      </c>
      <c r="D3474" s="9" t="str">
        <f>"230906224"</f>
        <v>230906224</v>
      </c>
      <c r="E3474" s="10">
        <v>66.08</v>
      </c>
      <c r="F3474" s="10"/>
      <c r="G3474" s="10">
        <v>69</v>
      </c>
      <c r="H3474" s="10"/>
      <c r="I3474" s="10">
        <v>67.83</v>
      </c>
    </row>
    <row r="3475" spans="1:9" s="3" customFormat="1" ht="21.75" customHeight="1">
      <c r="A3475" s="8" t="s">
        <v>23</v>
      </c>
      <c r="B3475" s="8" t="s">
        <v>24</v>
      </c>
      <c r="C3475" s="9" t="str">
        <f t="shared" si="83"/>
        <v>230126</v>
      </c>
      <c r="D3475" s="9" t="str">
        <f>"230906201"</f>
        <v>230906201</v>
      </c>
      <c r="E3475" s="10">
        <v>70.31</v>
      </c>
      <c r="F3475" s="10"/>
      <c r="G3475" s="10">
        <v>66</v>
      </c>
      <c r="H3475" s="10"/>
      <c r="I3475" s="10">
        <v>67.72</v>
      </c>
    </row>
    <row r="3476" spans="1:9" s="2" customFormat="1" ht="21.75" customHeight="1">
      <c r="A3476" s="8" t="s">
        <v>23</v>
      </c>
      <c r="B3476" s="8" t="s">
        <v>24</v>
      </c>
      <c r="C3476" s="9" t="str">
        <f t="shared" si="83"/>
        <v>230126</v>
      </c>
      <c r="D3476" s="9" t="str">
        <f>"230906113"</f>
        <v>230906113</v>
      </c>
      <c r="E3476" s="10">
        <v>66.86</v>
      </c>
      <c r="F3476" s="10"/>
      <c r="G3476" s="10">
        <v>68</v>
      </c>
      <c r="H3476" s="10"/>
      <c r="I3476" s="10">
        <v>67.540000000000006</v>
      </c>
    </row>
    <row r="3477" spans="1:9" s="2" customFormat="1" ht="21.75" customHeight="1">
      <c r="A3477" s="8" t="s">
        <v>23</v>
      </c>
      <c r="B3477" s="8" t="s">
        <v>24</v>
      </c>
      <c r="C3477" s="9" t="str">
        <f t="shared" si="83"/>
        <v>230126</v>
      </c>
      <c r="D3477" s="9" t="str">
        <f>"230906120"</f>
        <v>230906120</v>
      </c>
      <c r="E3477" s="10">
        <v>62.39</v>
      </c>
      <c r="F3477" s="10"/>
      <c r="G3477" s="10">
        <v>70.5</v>
      </c>
      <c r="H3477" s="10"/>
      <c r="I3477" s="10">
        <v>67.260000000000005</v>
      </c>
    </row>
    <row r="3478" spans="1:9" s="2" customFormat="1" ht="21.75" customHeight="1">
      <c r="A3478" s="8" t="s">
        <v>23</v>
      </c>
      <c r="B3478" s="8" t="s">
        <v>24</v>
      </c>
      <c r="C3478" s="9" t="str">
        <f t="shared" si="83"/>
        <v>230126</v>
      </c>
      <c r="D3478" s="9" t="str">
        <f>"230906310"</f>
        <v>230906310</v>
      </c>
      <c r="E3478" s="10">
        <v>66.849999999999994</v>
      </c>
      <c r="F3478" s="10"/>
      <c r="G3478" s="10">
        <v>66.5</v>
      </c>
      <c r="H3478" s="10"/>
      <c r="I3478" s="10">
        <v>66.64</v>
      </c>
    </row>
    <row r="3479" spans="1:9" s="2" customFormat="1" ht="21.75" customHeight="1">
      <c r="A3479" s="8" t="s">
        <v>23</v>
      </c>
      <c r="B3479" s="8" t="s">
        <v>24</v>
      </c>
      <c r="C3479" s="9" t="str">
        <f t="shared" si="83"/>
        <v>230126</v>
      </c>
      <c r="D3479" s="9" t="str">
        <f>"230906128"</f>
        <v>230906128</v>
      </c>
      <c r="E3479" s="10">
        <v>69.040000000000006</v>
      </c>
      <c r="F3479" s="10"/>
      <c r="G3479" s="10">
        <v>65</v>
      </c>
      <c r="H3479" s="10"/>
      <c r="I3479" s="10">
        <v>66.62</v>
      </c>
    </row>
    <row r="3480" spans="1:9" s="2" customFormat="1" ht="21.75" customHeight="1">
      <c r="A3480" s="8" t="s">
        <v>23</v>
      </c>
      <c r="B3480" s="8" t="s">
        <v>24</v>
      </c>
      <c r="C3480" s="9" t="str">
        <f t="shared" si="83"/>
        <v>230126</v>
      </c>
      <c r="D3480" s="9" t="str">
        <f>"230906210"</f>
        <v>230906210</v>
      </c>
      <c r="E3480" s="10">
        <v>80.66</v>
      </c>
      <c r="F3480" s="10"/>
      <c r="G3480" s="10">
        <v>56</v>
      </c>
      <c r="H3480" s="10"/>
      <c r="I3480" s="10">
        <v>65.86</v>
      </c>
    </row>
    <row r="3481" spans="1:9" s="2" customFormat="1" ht="21.75" customHeight="1">
      <c r="A3481" s="8" t="s">
        <v>23</v>
      </c>
      <c r="B3481" s="8" t="s">
        <v>24</v>
      </c>
      <c r="C3481" s="9" t="str">
        <f t="shared" si="83"/>
        <v>230126</v>
      </c>
      <c r="D3481" s="9" t="str">
        <f>"230906106"</f>
        <v>230906106</v>
      </c>
      <c r="E3481" s="10">
        <v>61.15</v>
      </c>
      <c r="F3481" s="10"/>
      <c r="G3481" s="10">
        <v>68</v>
      </c>
      <c r="H3481" s="10"/>
      <c r="I3481" s="10">
        <v>65.260000000000005</v>
      </c>
    </row>
    <row r="3482" spans="1:9" s="2" customFormat="1" ht="21.75" customHeight="1">
      <c r="A3482" s="8" t="s">
        <v>23</v>
      </c>
      <c r="B3482" s="8" t="s">
        <v>24</v>
      </c>
      <c r="C3482" s="9" t="str">
        <f t="shared" si="83"/>
        <v>230126</v>
      </c>
      <c r="D3482" s="9" t="str">
        <f>"230906206"</f>
        <v>230906206</v>
      </c>
      <c r="E3482" s="10">
        <v>61.47</v>
      </c>
      <c r="F3482" s="10"/>
      <c r="G3482" s="10">
        <v>67.5</v>
      </c>
      <c r="H3482" s="10"/>
      <c r="I3482" s="10">
        <v>65.09</v>
      </c>
    </row>
    <row r="3483" spans="1:9" s="2" customFormat="1" ht="21.75" customHeight="1">
      <c r="A3483" s="8" t="s">
        <v>23</v>
      </c>
      <c r="B3483" s="8" t="s">
        <v>24</v>
      </c>
      <c r="C3483" s="9" t="str">
        <f t="shared" si="83"/>
        <v>230126</v>
      </c>
      <c r="D3483" s="9" t="str">
        <f>"230906130"</f>
        <v>230906130</v>
      </c>
      <c r="E3483" s="10">
        <v>53.89</v>
      </c>
      <c r="F3483" s="10"/>
      <c r="G3483" s="10">
        <v>72</v>
      </c>
      <c r="H3483" s="10"/>
      <c r="I3483" s="10">
        <v>64.760000000000005</v>
      </c>
    </row>
    <row r="3484" spans="1:9" s="3" customFormat="1" ht="21.75" customHeight="1">
      <c r="A3484" s="8" t="s">
        <v>23</v>
      </c>
      <c r="B3484" s="8" t="s">
        <v>24</v>
      </c>
      <c r="C3484" s="9" t="str">
        <f t="shared" si="83"/>
        <v>230126</v>
      </c>
      <c r="D3484" s="9" t="str">
        <f>"230906222"</f>
        <v>230906222</v>
      </c>
      <c r="E3484" s="10">
        <v>66.62</v>
      </c>
      <c r="F3484" s="10"/>
      <c r="G3484" s="10">
        <v>63.5</v>
      </c>
      <c r="H3484" s="10"/>
      <c r="I3484" s="10">
        <v>64.75</v>
      </c>
    </row>
    <row r="3485" spans="1:9" s="3" customFormat="1" ht="21.75" customHeight="1">
      <c r="A3485" s="8" t="s">
        <v>23</v>
      </c>
      <c r="B3485" s="8" t="s">
        <v>24</v>
      </c>
      <c r="C3485" s="9" t="str">
        <f t="shared" si="83"/>
        <v>230126</v>
      </c>
      <c r="D3485" s="9" t="str">
        <f>"230906230"</f>
        <v>230906230</v>
      </c>
      <c r="E3485" s="10">
        <v>60.07</v>
      </c>
      <c r="F3485" s="10"/>
      <c r="G3485" s="10">
        <v>66.5</v>
      </c>
      <c r="H3485" s="10"/>
      <c r="I3485" s="10">
        <v>63.93</v>
      </c>
    </row>
    <row r="3486" spans="1:9" s="3" customFormat="1" ht="21.75" customHeight="1">
      <c r="A3486" s="8" t="s">
        <v>23</v>
      </c>
      <c r="B3486" s="8" t="s">
        <v>24</v>
      </c>
      <c r="C3486" s="9" t="str">
        <f t="shared" si="83"/>
        <v>230126</v>
      </c>
      <c r="D3486" s="9" t="str">
        <f>"230906307"</f>
        <v>230906307</v>
      </c>
      <c r="E3486" s="10">
        <v>71.7</v>
      </c>
      <c r="F3486" s="10"/>
      <c r="G3486" s="10">
        <v>58.5</v>
      </c>
      <c r="H3486" s="10"/>
      <c r="I3486" s="10">
        <v>63.78</v>
      </c>
    </row>
    <row r="3487" spans="1:9" s="2" customFormat="1" ht="21.75" customHeight="1">
      <c r="A3487" s="8" t="s">
        <v>23</v>
      </c>
      <c r="B3487" s="8" t="s">
        <v>24</v>
      </c>
      <c r="C3487" s="9" t="str">
        <f t="shared" si="83"/>
        <v>230126</v>
      </c>
      <c r="D3487" s="9" t="str">
        <f>"230906322"</f>
        <v>230906322</v>
      </c>
      <c r="E3487" s="10">
        <v>66.62</v>
      </c>
      <c r="F3487" s="10"/>
      <c r="G3487" s="10">
        <v>61</v>
      </c>
      <c r="H3487" s="10"/>
      <c r="I3487" s="10">
        <v>63.25</v>
      </c>
    </row>
    <row r="3488" spans="1:9" s="3" customFormat="1" ht="21.75" customHeight="1">
      <c r="A3488" s="8" t="s">
        <v>23</v>
      </c>
      <c r="B3488" s="8" t="s">
        <v>24</v>
      </c>
      <c r="C3488" s="9" t="str">
        <f t="shared" si="83"/>
        <v>230126</v>
      </c>
      <c r="D3488" s="9" t="str">
        <f>"230906312"</f>
        <v>230906312</v>
      </c>
      <c r="E3488" s="10">
        <v>60.45</v>
      </c>
      <c r="F3488" s="10"/>
      <c r="G3488" s="10">
        <v>65</v>
      </c>
      <c r="H3488" s="10"/>
      <c r="I3488" s="10">
        <v>63.18</v>
      </c>
    </row>
    <row r="3489" spans="1:9" s="2" customFormat="1" ht="21.75" customHeight="1">
      <c r="A3489" s="8" t="s">
        <v>23</v>
      </c>
      <c r="B3489" s="8" t="s">
        <v>24</v>
      </c>
      <c r="C3489" s="9" t="str">
        <f t="shared" si="83"/>
        <v>230126</v>
      </c>
      <c r="D3489" s="9" t="str">
        <f>"230906302"</f>
        <v>230906302</v>
      </c>
      <c r="E3489" s="10">
        <v>58.13</v>
      </c>
      <c r="F3489" s="10"/>
      <c r="G3489" s="10">
        <v>60.5</v>
      </c>
      <c r="H3489" s="10"/>
      <c r="I3489" s="10">
        <v>59.55</v>
      </c>
    </row>
    <row r="3490" spans="1:9" s="2" customFormat="1" ht="21.75" customHeight="1">
      <c r="A3490" s="8" t="s">
        <v>23</v>
      </c>
      <c r="B3490" s="8" t="s">
        <v>24</v>
      </c>
      <c r="C3490" s="9" t="str">
        <f t="shared" si="83"/>
        <v>230126</v>
      </c>
      <c r="D3490" s="9" t="str">
        <f>"230906205"</f>
        <v>230906205</v>
      </c>
      <c r="E3490" s="10">
        <v>56.07</v>
      </c>
      <c r="F3490" s="10"/>
      <c r="G3490" s="10">
        <v>58.5</v>
      </c>
      <c r="H3490" s="10"/>
      <c r="I3490" s="10">
        <v>57.53</v>
      </c>
    </row>
    <row r="3491" spans="1:9" s="2" customFormat="1" ht="21.75" customHeight="1">
      <c r="A3491" s="8" t="s">
        <v>23</v>
      </c>
      <c r="B3491" s="8" t="s">
        <v>24</v>
      </c>
      <c r="C3491" s="9" t="str">
        <f t="shared" si="83"/>
        <v>230126</v>
      </c>
      <c r="D3491" s="9" t="str">
        <f>"230906112"</f>
        <v>230906112</v>
      </c>
      <c r="E3491" s="10">
        <v>73.31</v>
      </c>
      <c r="F3491" s="10"/>
      <c r="G3491" s="10">
        <v>43</v>
      </c>
      <c r="H3491" s="10"/>
      <c r="I3491" s="10">
        <v>55.12</v>
      </c>
    </row>
    <row r="3492" spans="1:9" s="3" customFormat="1" ht="21.75" customHeight="1">
      <c r="A3492" s="8" t="s">
        <v>23</v>
      </c>
      <c r="B3492" s="8" t="s">
        <v>24</v>
      </c>
      <c r="C3492" s="9" t="str">
        <f t="shared" si="83"/>
        <v>230126</v>
      </c>
      <c r="D3492" s="9" t="str">
        <f>"230906107"</f>
        <v>230906107</v>
      </c>
      <c r="E3492" s="10">
        <v>0</v>
      </c>
      <c r="F3492" s="10"/>
      <c r="G3492" s="10">
        <v>0</v>
      </c>
      <c r="H3492" s="10"/>
      <c r="I3492" s="10">
        <v>0</v>
      </c>
    </row>
    <row r="3493" spans="1:9" s="2" customFormat="1" ht="21.75" customHeight="1">
      <c r="A3493" s="8" t="s">
        <v>23</v>
      </c>
      <c r="B3493" s="8" t="s">
        <v>24</v>
      </c>
      <c r="C3493" s="9" t="str">
        <f t="shared" ref="C3493:C3527" si="84">"230126"</f>
        <v>230126</v>
      </c>
      <c r="D3493" s="9" t="str">
        <f>"230906111"</f>
        <v>230906111</v>
      </c>
      <c r="E3493" s="10">
        <v>0</v>
      </c>
      <c r="F3493" s="10"/>
      <c r="G3493" s="10">
        <v>0</v>
      </c>
      <c r="H3493" s="10"/>
      <c r="I3493" s="10">
        <v>0</v>
      </c>
    </row>
    <row r="3494" spans="1:9" s="2" customFormat="1" ht="21.75" customHeight="1">
      <c r="A3494" s="8" t="s">
        <v>23</v>
      </c>
      <c r="B3494" s="8" t="s">
        <v>24</v>
      </c>
      <c r="C3494" s="9" t="str">
        <f t="shared" si="84"/>
        <v>230126</v>
      </c>
      <c r="D3494" s="9" t="str">
        <f>"230906115"</f>
        <v>230906115</v>
      </c>
      <c r="E3494" s="10">
        <v>0</v>
      </c>
      <c r="F3494" s="10"/>
      <c r="G3494" s="10">
        <v>0</v>
      </c>
      <c r="H3494" s="10"/>
      <c r="I3494" s="10">
        <v>0</v>
      </c>
    </row>
    <row r="3495" spans="1:9" s="2" customFormat="1" ht="21.75" customHeight="1">
      <c r="A3495" s="8" t="s">
        <v>23</v>
      </c>
      <c r="B3495" s="8" t="s">
        <v>24</v>
      </c>
      <c r="C3495" s="9" t="str">
        <f t="shared" si="84"/>
        <v>230126</v>
      </c>
      <c r="D3495" s="9" t="str">
        <f>"230906116"</f>
        <v>230906116</v>
      </c>
      <c r="E3495" s="10">
        <v>0</v>
      </c>
      <c r="F3495" s="10"/>
      <c r="G3495" s="10">
        <v>0</v>
      </c>
      <c r="H3495" s="10"/>
      <c r="I3495" s="10">
        <v>0</v>
      </c>
    </row>
    <row r="3496" spans="1:9" s="2" customFormat="1" ht="21.75" customHeight="1">
      <c r="A3496" s="8" t="s">
        <v>23</v>
      </c>
      <c r="B3496" s="8" t="s">
        <v>24</v>
      </c>
      <c r="C3496" s="9" t="str">
        <f t="shared" si="84"/>
        <v>230126</v>
      </c>
      <c r="D3496" s="9" t="str">
        <f>"230906122"</f>
        <v>230906122</v>
      </c>
      <c r="E3496" s="10">
        <v>0</v>
      </c>
      <c r="F3496" s="10"/>
      <c r="G3496" s="10">
        <v>0</v>
      </c>
      <c r="H3496" s="10"/>
      <c r="I3496" s="10">
        <v>0</v>
      </c>
    </row>
    <row r="3497" spans="1:9" s="2" customFormat="1" ht="21.75" customHeight="1">
      <c r="A3497" s="8" t="s">
        <v>23</v>
      </c>
      <c r="B3497" s="8" t="s">
        <v>24</v>
      </c>
      <c r="C3497" s="9" t="str">
        <f t="shared" si="84"/>
        <v>230126</v>
      </c>
      <c r="D3497" s="9" t="str">
        <f>"230906124"</f>
        <v>230906124</v>
      </c>
      <c r="E3497" s="10">
        <v>0</v>
      </c>
      <c r="F3497" s="10"/>
      <c r="G3497" s="10">
        <v>0</v>
      </c>
      <c r="H3497" s="10"/>
      <c r="I3497" s="10">
        <v>0</v>
      </c>
    </row>
    <row r="3498" spans="1:9" s="3" customFormat="1" ht="21.75" customHeight="1">
      <c r="A3498" s="8" t="s">
        <v>23</v>
      </c>
      <c r="B3498" s="8" t="s">
        <v>24</v>
      </c>
      <c r="C3498" s="9" t="str">
        <f t="shared" si="84"/>
        <v>230126</v>
      </c>
      <c r="D3498" s="9" t="str">
        <f>"230906126"</f>
        <v>230906126</v>
      </c>
      <c r="E3498" s="10">
        <v>0</v>
      </c>
      <c r="F3498" s="10"/>
      <c r="G3498" s="10">
        <v>0</v>
      </c>
      <c r="H3498" s="10"/>
      <c r="I3498" s="10">
        <v>0</v>
      </c>
    </row>
    <row r="3499" spans="1:9" s="2" customFormat="1" ht="21.75" customHeight="1">
      <c r="A3499" s="8" t="s">
        <v>23</v>
      </c>
      <c r="B3499" s="8" t="s">
        <v>24</v>
      </c>
      <c r="C3499" s="9" t="str">
        <f t="shared" si="84"/>
        <v>230126</v>
      </c>
      <c r="D3499" s="9" t="str">
        <f>"230906127"</f>
        <v>230906127</v>
      </c>
      <c r="E3499" s="10">
        <v>0</v>
      </c>
      <c r="F3499" s="10"/>
      <c r="G3499" s="10">
        <v>0</v>
      </c>
      <c r="H3499" s="10"/>
      <c r="I3499" s="10">
        <v>0</v>
      </c>
    </row>
    <row r="3500" spans="1:9" s="3" customFormat="1" ht="21.75" customHeight="1">
      <c r="A3500" s="8" t="s">
        <v>23</v>
      </c>
      <c r="B3500" s="8" t="s">
        <v>24</v>
      </c>
      <c r="C3500" s="9" t="str">
        <f t="shared" si="84"/>
        <v>230126</v>
      </c>
      <c r="D3500" s="9" t="str">
        <f>"230906202"</f>
        <v>230906202</v>
      </c>
      <c r="E3500" s="10">
        <v>0</v>
      </c>
      <c r="F3500" s="10"/>
      <c r="G3500" s="10">
        <v>0</v>
      </c>
      <c r="H3500" s="10"/>
      <c r="I3500" s="10">
        <v>0</v>
      </c>
    </row>
    <row r="3501" spans="1:9" s="2" customFormat="1" ht="21.75" customHeight="1">
      <c r="A3501" s="8" t="s">
        <v>23</v>
      </c>
      <c r="B3501" s="8" t="s">
        <v>24</v>
      </c>
      <c r="C3501" s="9" t="str">
        <f t="shared" si="84"/>
        <v>230126</v>
      </c>
      <c r="D3501" s="9" t="str">
        <f>"230906207"</f>
        <v>230906207</v>
      </c>
      <c r="E3501" s="10">
        <v>0</v>
      </c>
      <c r="F3501" s="10"/>
      <c r="G3501" s="10">
        <v>0</v>
      </c>
      <c r="H3501" s="10"/>
      <c r="I3501" s="10">
        <v>0</v>
      </c>
    </row>
    <row r="3502" spans="1:9" s="2" customFormat="1" ht="21.75" customHeight="1">
      <c r="A3502" s="8" t="s">
        <v>23</v>
      </c>
      <c r="B3502" s="8" t="s">
        <v>24</v>
      </c>
      <c r="C3502" s="9" t="str">
        <f t="shared" si="84"/>
        <v>230126</v>
      </c>
      <c r="D3502" s="9" t="str">
        <f>"230906211"</f>
        <v>230906211</v>
      </c>
      <c r="E3502" s="10">
        <v>0</v>
      </c>
      <c r="F3502" s="10"/>
      <c r="G3502" s="10">
        <v>0</v>
      </c>
      <c r="H3502" s="10"/>
      <c r="I3502" s="10">
        <v>0</v>
      </c>
    </row>
    <row r="3503" spans="1:9" s="2" customFormat="1" ht="21.75" customHeight="1">
      <c r="A3503" s="8" t="s">
        <v>23</v>
      </c>
      <c r="B3503" s="8" t="s">
        <v>24</v>
      </c>
      <c r="C3503" s="9" t="str">
        <f t="shared" si="84"/>
        <v>230126</v>
      </c>
      <c r="D3503" s="9" t="str">
        <f>"230906212"</f>
        <v>230906212</v>
      </c>
      <c r="E3503" s="10">
        <v>0</v>
      </c>
      <c r="F3503" s="10"/>
      <c r="G3503" s="10">
        <v>0</v>
      </c>
      <c r="H3503" s="10"/>
      <c r="I3503" s="10">
        <v>0</v>
      </c>
    </row>
    <row r="3504" spans="1:9" s="2" customFormat="1" ht="21.75" customHeight="1">
      <c r="A3504" s="8" t="s">
        <v>23</v>
      </c>
      <c r="B3504" s="8" t="s">
        <v>24</v>
      </c>
      <c r="C3504" s="9" t="str">
        <f t="shared" si="84"/>
        <v>230126</v>
      </c>
      <c r="D3504" s="9" t="str">
        <f>"230906220"</f>
        <v>230906220</v>
      </c>
      <c r="E3504" s="10">
        <v>0</v>
      </c>
      <c r="F3504" s="10"/>
      <c r="G3504" s="10">
        <v>0</v>
      </c>
      <c r="H3504" s="10"/>
      <c r="I3504" s="10">
        <v>0</v>
      </c>
    </row>
    <row r="3505" spans="1:9" s="2" customFormat="1" ht="21.75" customHeight="1">
      <c r="A3505" s="8" t="s">
        <v>23</v>
      </c>
      <c r="B3505" s="8" t="s">
        <v>24</v>
      </c>
      <c r="C3505" s="9" t="str">
        <f t="shared" si="84"/>
        <v>230126</v>
      </c>
      <c r="D3505" s="9" t="str">
        <f>"230906221"</f>
        <v>230906221</v>
      </c>
      <c r="E3505" s="10">
        <v>0</v>
      </c>
      <c r="F3505" s="10"/>
      <c r="G3505" s="10">
        <v>0</v>
      </c>
      <c r="H3505" s="10"/>
      <c r="I3505" s="10">
        <v>0</v>
      </c>
    </row>
    <row r="3506" spans="1:9" s="2" customFormat="1" ht="21.75" customHeight="1">
      <c r="A3506" s="8" t="s">
        <v>23</v>
      </c>
      <c r="B3506" s="8" t="s">
        <v>24</v>
      </c>
      <c r="C3506" s="9" t="str">
        <f t="shared" si="84"/>
        <v>230126</v>
      </c>
      <c r="D3506" s="9" t="str">
        <f>"230906226"</f>
        <v>230906226</v>
      </c>
      <c r="E3506" s="10">
        <v>0</v>
      </c>
      <c r="F3506" s="10"/>
      <c r="G3506" s="10">
        <v>0</v>
      </c>
      <c r="H3506" s="10"/>
      <c r="I3506" s="10">
        <v>0</v>
      </c>
    </row>
    <row r="3507" spans="1:9" s="2" customFormat="1" ht="21.75" customHeight="1">
      <c r="A3507" s="8" t="s">
        <v>23</v>
      </c>
      <c r="B3507" s="8" t="s">
        <v>24</v>
      </c>
      <c r="C3507" s="9" t="str">
        <f t="shared" si="84"/>
        <v>230126</v>
      </c>
      <c r="D3507" s="9" t="str">
        <f>"230906303"</f>
        <v>230906303</v>
      </c>
      <c r="E3507" s="10">
        <v>0</v>
      </c>
      <c r="F3507" s="10"/>
      <c r="G3507" s="10">
        <v>0</v>
      </c>
      <c r="H3507" s="10"/>
      <c r="I3507" s="10">
        <v>0</v>
      </c>
    </row>
    <row r="3508" spans="1:9" s="2" customFormat="1" ht="21.75" customHeight="1">
      <c r="A3508" s="8" t="s">
        <v>23</v>
      </c>
      <c r="B3508" s="8" t="s">
        <v>24</v>
      </c>
      <c r="C3508" s="9" t="str">
        <f t="shared" si="84"/>
        <v>230126</v>
      </c>
      <c r="D3508" s="9" t="str">
        <f>"230906304"</f>
        <v>230906304</v>
      </c>
      <c r="E3508" s="10">
        <v>0</v>
      </c>
      <c r="F3508" s="10"/>
      <c r="G3508" s="10">
        <v>0</v>
      </c>
      <c r="H3508" s="10"/>
      <c r="I3508" s="10">
        <v>0</v>
      </c>
    </row>
    <row r="3509" spans="1:9" s="3" customFormat="1" ht="21.75" customHeight="1">
      <c r="A3509" s="8" t="s">
        <v>23</v>
      </c>
      <c r="B3509" s="8" t="s">
        <v>24</v>
      </c>
      <c r="C3509" s="9" t="str">
        <f t="shared" si="84"/>
        <v>230126</v>
      </c>
      <c r="D3509" s="9" t="str">
        <f>"230906309"</f>
        <v>230906309</v>
      </c>
      <c r="E3509" s="10">
        <v>0</v>
      </c>
      <c r="F3509" s="10"/>
      <c r="G3509" s="10">
        <v>0</v>
      </c>
      <c r="H3509" s="10"/>
      <c r="I3509" s="10">
        <v>0</v>
      </c>
    </row>
    <row r="3510" spans="1:9" s="2" customFormat="1" ht="21.75" customHeight="1">
      <c r="A3510" s="8" t="s">
        <v>23</v>
      </c>
      <c r="B3510" s="8" t="s">
        <v>24</v>
      </c>
      <c r="C3510" s="9" t="str">
        <f t="shared" si="84"/>
        <v>230126</v>
      </c>
      <c r="D3510" s="9" t="str">
        <f>"230906311"</f>
        <v>230906311</v>
      </c>
      <c r="E3510" s="10">
        <v>0</v>
      </c>
      <c r="F3510" s="10"/>
      <c r="G3510" s="10">
        <v>0</v>
      </c>
      <c r="H3510" s="10"/>
      <c r="I3510" s="10">
        <v>0</v>
      </c>
    </row>
    <row r="3511" spans="1:9" s="2" customFormat="1" ht="21.75" customHeight="1">
      <c r="A3511" s="8" t="s">
        <v>23</v>
      </c>
      <c r="B3511" s="8" t="s">
        <v>24</v>
      </c>
      <c r="C3511" s="9" t="str">
        <f t="shared" si="84"/>
        <v>230126</v>
      </c>
      <c r="D3511" s="9" t="str">
        <f>"230906314"</f>
        <v>230906314</v>
      </c>
      <c r="E3511" s="10">
        <v>0</v>
      </c>
      <c r="F3511" s="10"/>
      <c r="G3511" s="10">
        <v>0</v>
      </c>
      <c r="H3511" s="10"/>
      <c r="I3511" s="10">
        <v>0</v>
      </c>
    </row>
    <row r="3512" spans="1:9" s="3" customFormat="1" ht="21.75" customHeight="1">
      <c r="A3512" s="8" t="s">
        <v>23</v>
      </c>
      <c r="B3512" s="8" t="s">
        <v>24</v>
      </c>
      <c r="C3512" s="9" t="str">
        <f t="shared" si="84"/>
        <v>230126</v>
      </c>
      <c r="D3512" s="9" t="str">
        <f>"230906315"</f>
        <v>230906315</v>
      </c>
      <c r="E3512" s="10">
        <v>0</v>
      </c>
      <c r="F3512" s="10"/>
      <c r="G3512" s="10">
        <v>0</v>
      </c>
      <c r="H3512" s="10"/>
      <c r="I3512" s="10">
        <v>0</v>
      </c>
    </row>
    <row r="3513" spans="1:9" s="2" customFormat="1" ht="21.75" customHeight="1">
      <c r="A3513" s="8" t="s">
        <v>23</v>
      </c>
      <c r="B3513" s="8" t="s">
        <v>24</v>
      </c>
      <c r="C3513" s="9" t="str">
        <f t="shared" si="84"/>
        <v>230126</v>
      </c>
      <c r="D3513" s="9" t="str">
        <f>"230906317"</f>
        <v>230906317</v>
      </c>
      <c r="E3513" s="10">
        <v>0</v>
      </c>
      <c r="F3513" s="10"/>
      <c r="G3513" s="10">
        <v>0</v>
      </c>
      <c r="H3513" s="10"/>
      <c r="I3513" s="10">
        <v>0</v>
      </c>
    </row>
    <row r="3514" spans="1:9" s="2" customFormat="1" ht="21.75" customHeight="1">
      <c r="A3514" s="8" t="s">
        <v>23</v>
      </c>
      <c r="B3514" s="8" t="s">
        <v>24</v>
      </c>
      <c r="C3514" s="9" t="str">
        <f t="shared" si="84"/>
        <v>230126</v>
      </c>
      <c r="D3514" s="9" t="str">
        <f>"230906318"</f>
        <v>230906318</v>
      </c>
      <c r="E3514" s="10">
        <v>0</v>
      </c>
      <c r="F3514" s="10"/>
      <c r="G3514" s="10">
        <v>0</v>
      </c>
      <c r="H3514" s="10"/>
      <c r="I3514" s="10">
        <v>0</v>
      </c>
    </row>
    <row r="3515" spans="1:9" s="2" customFormat="1" ht="21.75" customHeight="1">
      <c r="A3515" s="8" t="s">
        <v>23</v>
      </c>
      <c r="B3515" s="8" t="s">
        <v>24</v>
      </c>
      <c r="C3515" s="9" t="str">
        <f t="shared" si="84"/>
        <v>230126</v>
      </c>
      <c r="D3515" s="9" t="str">
        <f>"230906319"</f>
        <v>230906319</v>
      </c>
      <c r="E3515" s="10">
        <v>0</v>
      </c>
      <c r="F3515" s="10"/>
      <c r="G3515" s="10">
        <v>0</v>
      </c>
      <c r="H3515" s="10"/>
      <c r="I3515" s="10">
        <v>0</v>
      </c>
    </row>
    <row r="3516" spans="1:9" s="3" customFormat="1" ht="21.75" customHeight="1">
      <c r="A3516" s="8" t="s">
        <v>23</v>
      </c>
      <c r="B3516" s="8" t="s">
        <v>24</v>
      </c>
      <c r="C3516" s="9" t="str">
        <f t="shared" si="84"/>
        <v>230126</v>
      </c>
      <c r="D3516" s="9" t="str">
        <f>"230906320"</f>
        <v>230906320</v>
      </c>
      <c r="E3516" s="10">
        <v>0</v>
      </c>
      <c r="F3516" s="10"/>
      <c r="G3516" s="10">
        <v>0</v>
      </c>
      <c r="H3516" s="10"/>
      <c r="I3516" s="10">
        <v>0</v>
      </c>
    </row>
    <row r="3517" spans="1:9" s="2" customFormat="1" ht="21.75" customHeight="1">
      <c r="A3517" s="8" t="s">
        <v>23</v>
      </c>
      <c r="B3517" s="8" t="s">
        <v>24</v>
      </c>
      <c r="C3517" s="9" t="str">
        <f t="shared" si="84"/>
        <v>230126</v>
      </c>
      <c r="D3517" s="9" t="str">
        <f>"230906321"</f>
        <v>230906321</v>
      </c>
      <c r="E3517" s="10">
        <v>0</v>
      </c>
      <c r="F3517" s="10"/>
      <c r="G3517" s="10">
        <v>0</v>
      </c>
      <c r="H3517" s="10"/>
      <c r="I3517" s="10">
        <v>0</v>
      </c>
    </row>
    <row r="3518" spans="1:9" s="2" customFormat="1" ht="21.75" customHeight="1">
      <c r="A3518" s="8" t="s">
        <v>23</v>
      </c>
      <c r="B3518" s="8" t="s">
        <v>24</v>
      </c>
      <c r="C3518" s="9" t="str">
        <f t="shared" si="84"/>
        <v>230126</v>
      </c>
      <c r="D3518" s="9" t="str">
        <f>"230906323"</f>
        <v>230906323</v>
      </c>
      <c r="E3518" s="10">
        <v>0</v>
      </c>
      <c r="F3518" s="10"/>
      <c r="G3518" s="10">
        <v>0</v>
      </c>
      <c r="H3518" s="10"/>
      <c r="I3518" s="10">
        <v>0</v>
      </c>
    </row>
    <row r="3519" spans="1:9" s="3" customFormat="1" ht="21.75" customHeight="1">
      <c r="A3519" s="8" t="s">
        <v>23</v>
      </c>
      <c r="B3519" s="8" t="s">
        <v>24</v>
      </c>
      <c r="C3519" s="9" t="str">
        <f t="shared" si="84"/>
        <v>230126</v>
      </c>
      <c r="D3519" s="9" t="str">
        <f>"230906326"</f>
        <v>230906326</v>
      </c>
      <c r="E3519" s="10">
        <v>0</v>
      </c>
      <c r="F3519" s="10"/>
      <c r="G3519" s="10">
        <v>0</v>
      </c>
      <c r="H3519" s="10"/>
      <c r="I3519" s="10">
        <v>0</v>
      </c>
    </row>
    <row r="3520" spans="1:9" s="3" customFormat="1" ht="21.75" customHeight="1">
      <c r="A3520" s="8" t="s">
        <v>23</v>
      </c>
      <c r="B3520" s="8" t="s">
        <v>24</v>
      </c>
      <c r="C3520" s="9" t="str">
        <f t="shared" si="84"/>
        <v>230126</v>
      </c>
      <c r="D3520" s="9" t="str">
        <f>"230906329"</f>
        <v>230906329</v>
      </c>
      <c r="E3520" s="10">
        <v>0</v>
      </c>
      <c r="F3520" s="10"/>
      <c r="G3520" s="10">
        <v>0</v>
      </c>
      <c r="H3520" s="10"/>
      <c r="I3520" s="10">
        <v>0</v>
      </c>
    </row>
    <row r="3521" spans="1:9" s="2" customFormat="1" ht="21.75" customHeight="1">
      <c r="A3521" s="8" t="s">
        <v>23</v>
      </c>
      <c r="B3521" s="8" t="s">
        <v>24</v>
      </c>
      <c r="C3521" s="9" t="str">
        <f t="shared" si="84"/>
        <v>230126</v>
      </c>
      <c r="D3521" s="9" t="str">
        <f>"230906330"</f>
        <v>230906330</v>
      </c>
      <c r="E3521" s="10">
        <v>0</v>
      </c>
      <c r="F3521" s="10"/>
      <c r="G3521" s="10">
        <v>0</v>
      </c>
      <c r="H3521" s="10"/>
      <c r="I3521" s="10">
        <v>0</v>
      </c>
    </row>
    <row r="3522" spans="1:9" s="2" customFormat="1" ht="21.75" customHeight="1">
      <c r="A3522" s="8" t="s">
        <v>23</v>
      </c>
      <c r="B3522" s="8" t="s">
        <v>24</v>
      </c>
      <c r="C3522" s="9" t="str">
        <f t="shared" si="84"/>
        <v>230126</v>
      </c>
      <c r="D3522" s="9" t="str">
        <f>"230906401"</f>
        <v>230906401</v>
      </c>
      <c r="E3522" s="10">
        <v>0</v>
      </c>
      <c r="F3522" s="10"/>
      <c r="G3522" s="10">
        <v>0</v>
      </c>
      <c r="H3522" s="10"/>
      <c r="I3522" s="10">
        <v>0</v>
      </c>
    </row>
    <row r="3523" spans="1:9" s="3" customFormat="1" ht="21.75" customHeight="1">
      <c r="A3523" s="8" t="s">
        <v>23</v>
      </c>
      <c r="B3523" s="8" t="s">
        <v>24</v>
      </c>
      <c r="C3523" s="9" t="str">
        <f t="shared" si="84"/>
        <v>230126</v>
      </c>
      <c r="D3523" s="9" t="str">
        <f>"230906405"</f>
        <v>230906405</v>
      </c>
      <c r="E3523" s="10">
        <v>0</v>
      </c>
      <c r="F3523" s="10"/>
      <c r="G3523" s="10">
        <v>0</v>
      </c>
      <c r="H3523" s="10"/>
      <c r="I3523" s="10">
        <v>0</v>
      </c>
    </row>
    <row r="3524" spans="1:9" s="2" customFormat="1" ht="21.75" customHeight="1">
      <c r="A3524" s="8" t="s">
        <v>23</v>
      </c>
      <c r="B3524" s="8" t="s">
        <v>24</v>
      </c>
      <c r="C3524" s="9" t="str">
        <f t="shared" si="84"/>
        <v>230126</v>
      </c>
      <c r="D3524" s="9" t="str">
        <f>"230906409"</f>
        <v>230906409</v>
      </c>
      <c r="E3524" s="10">
        <v>0</v>
      </c>
      <c r="F3524" s="10"/>
      <c r="G3524" s="10">
        <v>0</v>
      </c>
      <c r="H3524" s="10"/>
      <c r="I3524" s="10">
        <v>0</v>
      </c>
    </row>
    <row r="3525" spans="1:9" s="2" customFormat="1" ht="21.75" customHeight="1">
      <c r="A3525" s="8" t="s">
        <v>23</v>
      </c>
      <c r="B3525" s="8" t="s">
        <v>24</v>
      </c>
      <c r="C3525" s="9" t="str">
        <f t="shared" si="84"/>
        <v>230126</v>
      </c>
      <c r="D3525" s="9" t="str">
        <f>"230906410"</f>
        <v>230906410</v>
      </c>
      <c r="E3525" s="10">
        <v>0</v>
      </c>
      <c r="F3525" s="10"/>
      <c r="G3525" s="10">
        <v>0</v>
      </c>
      <c r="H3525" s="10"/>
      <c r="I3525" s="10">
        <v>0</v>
      </c>
    </row>
    <row r="3526" spans="1:9" s="2" customFormat="1" ht="21.75" customHeight="1">
      <c r="A3526" s="8" t="s">
        <v>23</v>
      </c>
      <c r="B3526" s="8" t="s">
        <v>24</v>
      </c>
      <c r="C3526" s="9" t="str">
        <f t="shared" si="84"/>
        <v>230126</v>
      </c>
      <c r="D3526" s="9" t="str">
        <f>"230906411"</f>
        <v>230906411</v>
      </c>
      <c r="E3526" s="10">
        <v>0</v>
      </c>
      <c r="F3526" s="10"/>
      <c r="G3526" s="10">
        <v>0</v>
      </c>
      <c r="H3526" s="10"/>
      <c r="I3526" s="10">
        <v>0</v>
      </c>
    </row>
    <row r="3527" spans="1:9" s="2" customFormat="1" ht="21.75" customHeight="1">
      <c r="A3527" s="8" t="s">
        <v>23</v>
      </c>
      <c r="B3527" s="8" t="s">
        <v>24</v>
      </c>
      <c r="C3527" s="9" t="str">
        <f t="shared" si="84"/>
        <v>230126</v>
      </c>
      <c r="D3527" s="9" t="str">
        <f>"230906413"</f>
        <v>230906413</v>
      </c>
      <c r="E3527" s="10">
        <v>0</v>
      </c>
      <c r="F3527" s="10"/>
      <c r="G3527" s="10">
        <v>0</v>
      </c>
      <c r="H3527" s="10"/>
      <c r="I3527" s="10">
        <v>0</v>
      </c>
    </row>
    <row r="3528" spans="1:9" ht="21.75" customHeight="1">
      <c r="A3528" s="8" t="s">
        <v>23</v>
      </c>
      <c r="B3528" s="8" t="s">
        <v>25</v>
      </c>
      <c r="C3528" s="9" t="str">
        <f t="shared" ref="C3528:C3559" si="85">"230127"</f>
        <v>230127</v>
      </c>
      <c r="D3528" s="9" t="str">
        <f>"230906506"</f>
        <v>230906506</v>
      </c>
      <c r="E3528" s="10">
        <v>75.03</v>
      </c>
      <c r="F3528" s="10"/>
      <c r="G3528" s="10">
        <v>78</v>
      </c>
      <c r="H3528" s="10"/>
      <c r="I3528" s="10">
        <v>76.81</v>
      </c>
    </row>
    <row r="3529" spans="1:9" s="1" customFormat="1" ht="21.75" customHeight="1">
      <c r="A3529" s="8" t="s">
        <v>23</v>
      </c>
      <c r="B3529" s="8" t="s">
        <v>25</v>
      </c>
      <c r="C3529" s="9" t="str">
        <f t="shared" si="85"/>
        <v>230127</v>
      </c>
      <c r="D3529" s="9" t="str">
        <f>"230906512"</f>
        <v>230906512</v>
      </c>
      <c r="E3529" s="10">
        <v>78.7</v>
      </c>
      <c r="F3529" s="10"/>
      <c r="G3529" s="10">
        <v>75</v>
      </c>
      <c r="H3529" s="10"/>
      <c r="I3529" s="10">
        <v>76.48</v>
      </c>
    </row>
    <row r="3530" spans="1:9" s="1" customFormat="1" ht="21.75" customHeight="1">
      <c r="A3530" s="8" t="s">
        <v>23</v>
      </c>
      <c r="B3530" s="8" t="s">
        <v>25</v>
      </c>
      <c r="C3530" s="9" t="str">
        <f t="shared" si="85"/>
        <v>230127</v>
      </c>
      <c r="D3530" s="9" t="str">
        <f>"230906503"</f>
        <v>230906503</v>
      </c>
      <c r="E3530" s="10">
        <v>76.44</v>
      </c>
      <c r="F3530" s="10"/>
      <c r="G3530" s="10">
        <v>75</v>
      </c>
      <c r="H3530" s="10"/>
      <c r="I3530" s="10">
        <v>75.58</v>
      </c>
    </row>
    <row r="3531" spans="1:9" ht="21.75" customHeight="1">
      <c r="A3531" s="8" t="s">
        <v>23</v>
      </c>
      <c r="B3531" s="8" t="s">
        <v>25</v>
      </c>
      <c r="C3531" s="9" t="str">
        <f t="shared" si="85"/>
        <v>230127</v>
      </c>
      <c r="D3531" s="9" t="str">
        <f>"230906511"</f>
        <v>230906511</v>
      </c>
      <c r="E3531" s="10">
        <v>76.78</v>
      </c>
      <c r="F3531" s="10"/>
      <c r="G3531" s="10">
        <v>74.5</v>
      </c>
      <c r="H3531" s="10"/>
      <c r="I3531" s="10">
        <v>75.41</v>
      </c>
    </row>
    <row r="3532" spans="1:9" ht="21.75" customHeight="1">
      <c r="A3532" s="8" t="s">
        <v>23</v>
      </c>
      <c r="B3532" s="8" t="s">
        <v>25</v>
      </c>
      <c r="C3532" s="9" t="str">
        <f t="shared" si="85"/>
        <v>230127</v>
      </c>
      <c r="D3532" s="9" t="str">
        <f>"230906514"</f>
        <v>230906514</v>
      </c>
      <c r="E3532" s="10">
        <v>72.17</v>
      </c>
      <c r="F3532" s="10"/>
      <c r="G3532" s="10">
        <v>77</v>
      </c>
      <c r="H3532" s="10"/>
      <c r="I3532" s="10">
        <v>75.069999999999993</v>
      </c>
    </row>
    <row r="3533" spans="1:9" s="1" customFormat="1" ht="21.75" customHeight="1">
      <c r="A3533" s="8" t="s">
        <v>23</v>
      </c>
      <c r="B3533" s="8" t="s">
        <v>25</v>
      </c>
      <c r="C3533" s="9" t="str">
        <f t="shared" si="85"/>
        <v>230127</v>
      </c>
      <c r="D3533" s="9" t="str">
        <f>"230906428"</f>
        <v>230906428</v>
      </c>
      <c r="E3533" s="10">
        <v>74</v>
      </c>
      <c r="F3533" s="10"/>
      <c r="G3533" s="10">
        <v>75.5</v>
      </c>
      <c r="H3533" s="10"/>
      <c r="I3533" s="10">
        <v>74.900000000000006</v>
      </c>
    </row>
    <row r="3534" spans="1:9" ht="21.75" customHeight="1">
      <c r="A3534" s="8" t="s">
        <v>23</v>
      </c>
      <c r="B3534" s="8" t="s">
        <v>25</v>
      </c>
      <c r="C3534" s="9" t="str">
        <f t="shared" si="85"/>
        <v>230127</v>
      </c>
      <c r="D3534" s="9" t="str">
        <f>"230906509"</f>
        <v>230906509</v>
      </c>
      <c r="E3534" s="10">
        <v>74.94</v>
      </c>
      <c r="F3534" s="10"/>
      <c r="G3534" s="10">
        <v>73.5</v>
      </c>
      <c r="H3534" s="10"/>
      <c r="I3534" s="10">
        <v>74.08</v>
      </c>
    </row>
    <row r="3535" spans="1:9" s="1" customFormat="1" ht="21.75" customHeight="1">
      <c r="A3535" s="8" t="s">
        <v>23</v>
      </c>
      <c r="B3535" s="8" t="s">
        <v>25</v>
      </c>
      <c r="C3535" s="9" t="str">
        <f t="shared" si="85"/>
        <v>230127</v>
      </c>
      <c r="D3535" s="9" t="str">
        <f>"230906417"</f>
        <v>230906417</v>
      </c>
      <c r="E3535" s="10">
        <v>75.489999999999995</v>
      </c>
      <c r="F3535" s="10"/>
      <c r="G3535" s="10">
        <v>73</v>
      </c>
      <c r="H3535" s="10"/>
      <c r="I3535" s="10">
        <v>74</v>
      </c>
    </row>
    <row r="3536" spans="1:9" ht="21.75" customHeight="1">
      <c r="A3536" s="8" t="s">
        <v>23</v>
      </c>
      <c r="B3536" s="8" t="s">
        <v>25</v>
      </c>
      <c r="C3536" s="9" t="str">
        <f t="shared" si="85"/>
        <v>230127</v>
      </c>
      <c r="D3536" s="9" t="str">
        <f>"230906515"</f>
        <v>230906515</v>
      </c>
      <c r="E3536" s="10">
        <v>67.209999999999994</v>
      </c>
      <c r="F3536" s="10"/>
      <c r="G3536" s="10">
        <v>77.5</v>
      </c>
      <c r="H3536" s="10"/>
      <c r="I3536" s="10">
        <v>73.38</v>
      </c>
    </row>
    <row r="3537" spans="1:9" s="1" customFormat="1" ht="21.75" customHeight="1">
      <c r="A3537" s="8" t="s">
        <v>23</v>
      </c>
      <c r="B3537" s="8" t="s">
        <v>25</v>
      </c>
      <c r="C3537" s="9" t="str">
        <f t="shared" si="85"/>
        <v>230127</v>
      </c>
      <c r="D3537" s="9" t="str">
        <f>"230906424"</f>
        <v>230906424</v>
      </c>
      <c r="E3537" s="10">
        <v>75.28</v>
      </c>
      <c r="F3537" s="10"/>
      <c r="G3537" s="10">
        <v>71.5</v>
      </c>
      <c r="H3537" s="10"/>
      <c r="I3537" s="10">
        <v>73.010000000000005</v>
      </c>
    </row>
    <row r="3538" spans="1:9" ht="21.75" customHeight="1">
      <c r="A3538" s="8" t="s">
        <v>23</v>
      </c>
      <c r="B3538" s="8" t="s">
        <v>25</v>
      </c>
      <c r="C3538" s="9" t="str">
        <f t="shared" si="85"/>
        <v>230127</v>
      </c>
      <c r="D3538" s="9" t="str">
        <f>"230906425"</f>
        <v>230906425</v>
      </c>
      <c r="E3538" s="10">
        <v>75.84</v>
      </c>
      <c r="F3538" s="10"/>
      <c r="G3538" s="10">
        <v>69.5</v>
      </c>
      <c r="H3538" s="10"/>
      <c r="I3538" s="10">
        <v>72.040000000000006</v>
      </c>
    </row>
    <row r="3539" spans="1:9" ht="21.75" customHeight="1">
      <c r="A3539" s="8" t="s">
        <v>23</v>
      </c>
      <c r="B3539" s="8" t="s">
        <v>25</v>
      </c>
      <c r="C3539" s="9" t="str">
        <f t="shared" si="85"/>
        <v>230127</v>
      </c>
      <c r="D3539" s="9" t="str">
        <f>"230906423"</f>
        <v>230906423</v>
      </c>
      <c r="E3539" s="10">
        <v>77.34</v>
      </c>
      <c r="F3539" s="10"/>
      <c r="G3539" s="10">
        <v>68</v>
      </c>
      <c r="H3539" s="10"/>
      <c r="I3539" s="10">
        <v>71.739999999999995</v>
      </c>
    </row>
    <row r="3540" spans="1:9" s="1" customFormat="1" ht="21.75" customHeight="1">
      <c r="A3540" s="8" t="s">
        <v>23</v>
      </c>
      <c r="B3540" s="8" t="s">
        <v>25</v>
      </c>
      <c r="C3540" s="9" t="str">
        <f t="shared" si="85"/>
        <v>230127</v>
      </c>
      <c r="D3540" s="9" t="str">
        <f>"230906510"</f>
        <v>230906510</v>
      </c>
      <c r="E3540" s="10">
        <v>66.53</v>
      </c>
      <c r="F3540" s="10"/>
      <c r="G3540" s="10">
        <v>75</v>
      </c>
      <c r="H3540" s="10"/>
      <c r="I3540" s="10">
        <v>71.61</v>
      </c>
    </row>
    <row r="3541" spans="1:9" ht="21.75" customHeight="1">
      <c r="A3541" s="8" t="s">
        <v>23</v>
      </c>
      <c r="B3541" s="8" t="s">
        <v>25</v>
      </c>
      <c r="C3541" s="9" t="str">
        <f t="shared" si="85"/>
        <v>230127</v>
      </c>
      <c r="D3541" s="9" t="str">
        <f>"230906421"</f>
        <v>230906421</v>
      </c>
      <c r="E3541" s="10">
        <v>70.209999999999994</v>
      </c>
      <c r="F3541" s="10"/>
      <c r="G3541" s="10">
        <v>71.5</v>
      </c>
      <c r="H3541" s="10"/>
      <c r="I3541" s="10">
        <v>70.98</v>
      </c>
    </row>
    <row r="3542" spans="1:9" ht="21.75" customHeight="1">
      <c r="A3542" s="8" t="s">
        <v>23</v>
      </c>
      <c r="B3542" s="8" t="s">
        <v>25</v>
      </c>
      <c r="C3542" s="9" t="str">
        <f t="shared" si="85"/>
        <v>230127</v>
      </c>
      <c r="D3542" s="9" t="str">
        <f>"230906502"</f>
        <v>230906502</v>
      </c>
      <c r="E3542" s="10">
        <v>72.489999999999995</v>
      </c>
      <c r="F3542" s="10"/>
      <c r="G3542" s="10">
        <v>69</v>
      </c>
      <c r="H3542" s="10"/>
      <c r="I3542" s="10">
        <v>70.400000000000006</v>
      </c>
    </row>
    <row r="3543" spans="1:9" s="1" customFormat="1" ht="21.75" customHeight="1">
      <c r="A3543" s="8" t="s">
        <v>23</v>
      </c>
      <c r="B3543" s="8" t="s">
        <v>25</v>
      </c>
      <c r="C3543" s="9" t="str">
        <f t="shared" si="85"/>
        <v>230127</v>
      </c>
      <c r="D3543" s="9" t="str">
        <f>"230906505"</f>
        <v>230906505</v>
      </c>
      <c r="E3543" s="10">
        <v>60.2</v>
      </c>
      <c r="F3543" s="10"/>
      <c r="G3543" s="10">
        <v>76.5</v>
      </c>
      <c r="H3543" s="10"/>
      <c r="I3543" s="10">
        <v>69.98</v>
      </c>
    </row>
    <row r="3544" spans="1:9" ht="21.75" customHeight="1">
      <c r="A3544" s="8" t="s">
        <v>23</v>
      </c>
      <c r="B3544" s="8" t="s">
        <v>25</v>
      </c>
      <c r="C3544" s="9" t="str">
        <f t="shared" si="85"/>
        <v>230127</v>
      </c>
      <c r="D3544" s="9" t="str">
        <f>"230906429"</f>
        <v>230906429</v>
      </c>
      <c r="E3544" s="10">
        <v>68.8</v>
      </c>
      <c r="F3544" s="10"/>
      <c r="G3544" s="10">
        <v>70.5</v>
      </c>
      <c r="H3544" s="10"/>
      <c r="I3544" s="10">
        <v>69.819999999999993</v>
      </c>
    </row>
    <row r="3545" spans="1:9" s="1" customFormat="1" ht="21.75" customHeight="1">
      <c r="A3545" s="8" t="s">
        <v>23</v>
      </c>
      <c r="B3545" s="8" t="s">
        <v>25</v>
      </c>
      <c r="C3545" s="9" t="str">
        <f t="shared" si="85"/>
        <v>230127</v>
      </c>
      <c r="D3545" s="9" t="str">
        <f>"230906430"</f>
        <v>230906430</v>
      </c>
      <c r="E3545" s="10">
        <v>65.38</v>
      </c>
      <c r="F3545" s="10"/>
      <c r="G3545" s="10">
        <v>72.5</v>
      </c>
      <c r="H3545" s="10"/>
      <c r="I3545" s="10">
        <v>69.650000000000006</v>
      </c>
    </row>
    <row r="3546" spans="1:9" ht="21.75" customHeight="1">
      <c r="A3546" s="8" t="s">
        <v>23</v>
      </c>
      <c r="B3546" s="8" t="s">
        <v>25</v>
      </c>
      <c r="C3546" s="9" t="str">
        <f t="shared" si="85"/>
        <v>230127</v>
      </c>
      <c r="D3546" s="9" t="str">
        <f>"230906419"</f>
        <v>230906419</v>
      </c>
      <c r="E3546" s="10">
        <v>74.22</v>
      </c>
      <c r="F3546" s="10"/>
      <c r="G3546" s="10">
        <v>64.5</v>
      </c>
      <c r="H3546" s="10"/>
      <c r="I3546" s="10">
        <v>68.39</v>
      </c>
    </row>
    <row r="3547" spans="1:9" s="1" customFormat="1" ht="21.75" customHeight="1">
      <c r="A3547" s="8" t="s">
        <v>23</v>
      </c>
      <c r="B3547" s="8" t="s">
        <v>25</v>
      </c>
      <c r="C3547" s="9" t="str">
        <f t="shared" si="85"/>
        <v>230127</v>
      </c>
      <c r="D3547" s="9" t="str">
        <f>"230906415"</f>
        <v>230906415</v>
      </c>
      <c r="E3547" s="10">
        <v>71.239999999999995</v>
      </c>
      <c r="F3547" s="10"/>
      <c r="G3547" s="10">
        <v>65</v>
      </c>
      <c r="H3547" s="10"/>
      <c r="I3547" s="10">
        <v>67.5</v>
      </c>
    </row>
    <row r="3548" spans="1:9" s="1" customFormat="1" ht="21.75" customHeight="1">
      <c r="A3548" s="8" t="s">
        <v>23</v>
      </c>
      <c r="B3548" s="8" t="s">
        <v>25</v>
      </c>
      <c r="C3548" s="9" t="str">
        <f t="shared" si="85"/>
        <v>230127</v>
      </c>
      <c r="D3548" s="9" t="str">
        <f>"230906427"</f>
        <v>230906427</v>
      </c>
      <c r="E3548" s="10">
        <v>68.819999999999993</v>
      </c>
      <c r="F3548" s="10"/>
      <c r="G3548" s="10">
        <v>65</v>
      </c>
      <c r="H3548" s="10"/>
      <c r="I3548" s="10">
        <v>66.53</v>
      </c>
    </row>
    <row r="3549" spans="1:9" s="1" customFormat="1" ht="21.75" customHeight="1">
      <c r="A3549" s="8" t="s">
        <v>23</v>
      </c>
      <c r="B3549" s="8" t="s">
        <v>25</v>
      </c>
      <c r="C3549" s="9" t="str">
        <f t="shared" si="85"/>
        <v>230127</v>
      </c>
      <c r="D3549" s="9" t="str">
        <f>"230906508"</f>
        <v>230906508</v>
      </c>
      <c r="E3549" s="10">
        <v>61.7</v>
      </c>
      <c r="F3549" s="10"/>
      <c r="G3549" s="10">
        <v>67</v>
      </c>
      <c r="H3549" s="10"/>
      <c r="I3549" s="10">
        <v>64.88</v>
      </c>
    </row>
    <row r="3550" spans="1:9" ht="21.75" customHeight="1">
      <c r="A3550" s="8" t="s">
        <v>23</v>
      </c>
      <c r="B3550" s="8" t="s">
        <v>25</v>
      </c>
      <c r="C3550" s="9" t="str">
        <f t="shared" si="85"/>
        <v>230127</v>
      </c>
      <c r="D3550" s="9" t="str">
        <f>"230906414"</f>
        <v>230906414</v>
      </c>
      <c r="E3550" s="10">
        <v>0</v>
      </c>
      <c r="F3550" s="10"/>
      <c r="G3550" s="10">
        <v>0</v>
      </c>
      <c r="H3550" s="10"/>
      <c r="I3550" s="10">
        <v>0</v>
      </c>
    </row>
    <row r="3551" spans="1:9" s="1" customFormat="1" ht="21.75" customHeight="1">
      <c r="A3551" s="8" t="s">
        <v>23</v>
      </c>
      <c r="B3551" s="8" t="s">
        <v>25</v>
      </c>
      <c r="C3551" s="9" t="str">
        <f t="shared" si="85"/>
        <v>230127</v>
      </c>
      <c r="D3551" s="9" t="str">
        <f>"230906416"</f>
        <v>230906416</v>
      </c>
      <c r="E3551" s="10">
        <v>0</v>
      </c>
      <c r="F3551" s="10"/>
      <c r="G3551" s="10">
        <v>0</v>
      </c>
      <c r="H3551" s="10"/>
      <c r="I3551" s="10">
        <v>0</v>
      </c>
    </row>
    <row r="3552" spans="1:9" ht="21.75" customHeight="1">
      <c r="A3552" s="8" t="s">
        <v>23</v>
      </c>
      <c r="B3552" s="8" t="s">
        <v>25</v>
      </c>
      <c r="C3552" s="9" t="str">
        <f t="shared" si="85"/>
        <v>230127</v>
      </c>
      <c r="D3552" s="9" t="str">
        <f>"230906418"</f>
        <v>230906418</v>
      </c>
      <c r="E3552" s="10">
        <v>0</v>
      </c>
      <c r="F3552" s="10"/>
      <c r="G3552" s="10">
        <v>0</v>
      </c>
      <c r="H3552" s="10"/>
      <c r="I3552" s="10">
        <v>0</v>
      </c>
    </row>
    <row r="3553" spans="1:9" ht="21.75" customHeight="1">
      <c r="A3553" s="8" t="s">
        <v>23</v>
      </c>
      <c r="B3553" s="8" t="s">
        <v>25</v>
      </c>
      <c r="C3553" s="9" t="str">
        <f t="shared" si="85"/>
        <v>230127</v>
      </c>
      <c r="D3553" s="9" t="str">
        <f>"230906420"</f>
        <v>230906420</v>
      </c>
      <c r="E3553" s="10">
        <v>0</v>
      </c>
      <c r="F3553" s="10"/>
      <c r="G3553" s="10">
        <v>0</v>
      </c>
      <c r="H3553" s="10"/>
      <c r="I3553" s="10">
        <v>0</v>
      </c>
    </row>
    <row r="3554" spans="1:9" ht="21.75" customHeight="1">
      <c r="A3554" s="8" t="s">
        <v>23</v>
      </c>
      <c r="B3554" s="8" t="s">
        <v>25</v>
      </c>
      <c r="C3554" s="9" t="str">
        <f t="shared" si="85"/>
        <v>230127</v>
      </c>
      <c r="D3554" s="9" t="str">
        <f>"230906422"</f>
        <v>230906422</v>
      </c>
      <c r="E3554" s="10">
        <v>0</v>
      </c>
      <c r="F3554" s="10"/>
      <c r="G3554" s="10">
        <v>0</v>
      </c>
      <c r="H3554" s="10"/>
      <c r="I3554" s="10">
        <v>0</v>
      </c>
    </row>
    <row r="3555" spans="1:9" s="1" customFormat="1" ht="21.75" customHeight="1">
      <c r="A3555" s="8" t="s">
        <v>23</v>
      </c>
      <c r="B3555" s="8" t="s">
        <v>25</v>
      </c>
      <c r="C3555" s="9" t="str">
        <f t="shared" si="85"/>
        <v>230127</v>
      </c>
      <c r="D3555" s="9" t="str">
        <f>"230906426"</f>
        <v>230906426</v>
      </c>
      <c r="E3555" s="10">
        <v>0</v>
      </c>
      <c r="F3555" s="10"/>
      <c r="G3555" s="10">
        <v>0</v>
      </c>
      <c r="H3555" s="10"/>
      <c r="I3555" s="10">
        <v>0</v>
      </c>
    </row>
    <row r="3556" spans="1:9" ht="21.75" customHeight="1">
      <c r="A3556" s="8" t="s">
        <v>23</v>
      </c>
      <c r="B3556" s="8" t="s">
        <v>25</v>
      </c>
      <c r="C3556" s="9" t="str">
        <f t="shared" si="85"/>
        <v>230127</v>
      </c>
      <c r="D3556" s="9" t="str">
        <f>"230906501"</f>
        <v>230906501</v>
      </c>
      <c r="E3556" s="10">
        <v>0</v>
      </c>
      <c r="F3556" s="10"/>
      <c r="G3556" s="10">
        <v>0</v>
      </c>
      <c r="H3556" s="10"/>
      <c r="I3556" s="10">
        <v>0</v>
      </c>
    </row>
    <row r="3557" spans="1:9" ht="21.75" customHeight="1">
      <c r="A3557" s="8" t="s">
        <v>23</v>
      </c>
      <c r="B3557" s="8" t="s">
        <v>25</v>
      </c>
      <c r="C3557" s="9" t="str">
        <f t="shared" si="85"/>
        <v>230127</v>
      </c>
      <c r="D3557" s="9" t="str">
        <f>"230906504"</f>
        <v>230906504</v>
      </c>
      <c r="E3557" s="10">
        <v>0</v>
      </c>
      <c r="F3557" s="10"/>
      <c r="G3557" s="10">
        <v>0</v>
      </c>
      <c r="H3557" s="10"/>
      <c r="I3557" s="10">
        <v>0</v>
      </c>
    </row>
    <row r="3558" spans="1:9" ht="21.75" customHeight="1">
      <c r="A3558" s="8" t="s">
        <v>23</v>
      </c>
      <c r="B3558" s="8" t="s">
        <v>25</v>
      </c>
      <c r="C3558" s="9" t="str">
        <f t="shared" si="85"/>
        <v>230127</v>
      </c>
      <c r="D3558" s="9" t="str">
        <f>"230906507"</f>
        <v>230906507</v>
      </c>
      <c r="E3558" s="10">
        <v>0</v>
      </c>
      <c r="F3558" s="10"/>
      <c r="G3558" s="10">
        <v>0</v>
      </c>
      <c r="H3558" s="10"/>
      <c r="I3558" s="10">
        <v>0</v>
      </c>
    </row>
    <row r="3559" spans="1:9" s="1" customFormat="1" ht="21.75" customHeight="1">
      <c r="A3559" s="8" t="s">
        <v>23</v>
      </c>
      <c r="B3559" s="8" t="s">
        <v>25</v>
      </c>
      <c r="C3559" s="9" t="str">
        <f t="shared" si="85"/>
        <v>230127</v>
      </c>
      <c r="D3559" s="9" t="str">
        <f>"230906513"</f>
        <v>230906513</v>
      </c>
      <c r="E3559" s="10">
        <v>0</v>
      </c>
      <c r="F3559" s="10"/>
      <c r="G3559" s="10">
        <v>0</v>
      </c>
      <c r="H3559" s="10"/>
      <c r="I3559" s="10">
        <v>0</v>
      </c>
    </row>
    <row r="3560" spans="1:9" s="2" customFormat="1" ht="21.75" customHeight="1">
      <c r="A3560" s="8" t="s">
        <v>23</v>
      </c>
      <c r="B3560" s="8" t="s">
        <v>26</v>
      </c>
      <c r="C3560" s="9" t="str">
        <f t="shared" ref="C3560:C3591" si="86">"230128"</f>
        <v>230128</v>
      </c>
      <c r="D3560" s="9" t="str">
        <f>"230906608"</f>
        <v>230906608</v>
      </c>
      <c r="E3560" s="10">
        <v>72.510000000000005</v>
      </c>
      <c r="F3560" s="10"/>
      <c r="G3560" s="10">
        <v>81.5</v>
      </c>
      <c r="H3560" s="10"/>
      <c r="I3560" s="10">
        <v>77.900000000000006</v>
      </c>
    </row>
    <row r="3561" spans="1:9" s="2" customFormat="1" ht="21.75" customHeight="1">
      <c r="A3561" s="8" t="s">
        <v>23</v>
      </c>
      <c r="B3561" s="8" t="s">
        <v>26</v>
      </c>
      <c r="C3561" s="9" t="str">
        <f t="shared" si="86"/>
        <v>230128</v>
      </c>
      <c r="D3561" s="9" t="str">
        <f>"230907008"</f>
        <v>230907008</v>
      </c>
      <c r="E3561" s="10">
        <v>76.64</v>
      </c>
      <c r="F3561" s="10"/>
      <c r="G3561" s="10">
        <v>78</v>
      </c>
      <c r="H3561" s="10"/>
      <c r="I3561" s="10">
        <v>77.459999999999994</v>
      </c>
    </row>
    <row r="3562" spans="1:9" s="2" customFormat="1" ht="21.75" customHeight="1">
      <c r="A3562" s="8" t="s">
        <v>23</v>
      </c>
      <c r="B3562" s="8" t="s">
        <v>26</v>
      </c>
      <c r="C3562" s="9" t="str">
        <f t="shared" si="86"/>
        <v>230128</v>
      </c>
      <c r="D3562" s="9" t="str">
        <f>"230906916"</f>
        <v>230906916</v>
      </c>
      <c r="E3562" s="10">
        <v>77.239999999999995</v>
      </c>
      <c r="F3562" s="10"/>
      <c r="G3562" s="10">
        <v>77.5</v>
      </c>
      <c r="H3562" s="10"/>
      <c r="I3562" s="10">
        <v>77.400000000000006</v>
      </c>
    </row>
    <row r="3563" spans="1:9" s="3" customFormat="1" ht="21.75" customHeight="1">
      <c r="A3563" s="8" t="s">
        <v>23</v>
      </c>
      <c r="B3563" s="8" t="s">
        <v>26</v>
      </c>
      <c r="C3563" s="9" t="str">
        <f t="shared" si="86"/>
        <v>230128</v>
      </c>
      <c r="D3563" s="9" t="str">
        <f>"230906610"</f>
        <v>230906610</v>
      </c>
      <c r="E3563" s="10">
        <v>76.400000000000006</v>
      </c>
      <c r="F3563" s="10"/>
      <c r="G3563" s="10">
        <v>78</v>
      </c>
      <c r="H3563" s="10"/>
      <c r="I3563" s="10">
        <v>77.36</v>
      </c>
    </row>
    <row r="3564" spans="1:9" s="2" customFormat="1" ht="21.75" customHeight="1">
      <c r="A3564" s="8" t="s">
        <v>23</v>
      </c>
      <c r="B3564" s="8" t="s">
        <v>26</v>
      </c>
      <c r="C3564" s="9" t="str">
        <f t="shared" si="86"/>
        <v>230128</v>
      </c>
      <c r="D3564" s="9" t="str">
        <f>"230906922"</f>
        <v>230906922</v>
      </c>
      <c r="E3564" s="10">
        <v>71.13</v>
      </c>
      <c r="F3564" s="10"/>
      <c r="G3564" s="10">
        <v>80.5</v>
      </c>
      <c r="H3564" s="10"/>
      <c r="I3564" s="10">
        <v>76.75</v>
      </c>
    </row>
    <row r="3565" spans="1:9" s="2" customFormat="1" ht="21.75" customHeight="1">
      <c r="A3565" s="8" t="s">
        <v>23</v>
      </c>
      <c r="B3565" s="8" t="s">
        <v>26</v>
      </c>
      <c r="C3565" s="9" t="str">
        <f t="shared" si="86"/>
        <v>230128</v>
      </c>
      <c r="D3565" s="9" t="str">
        <f>"230906923"</f>
        <v>230906923</v>
      </c>
      <c r="E3565" s="10">
        <v>83.09</v>
      </c>
      <c r="F3565" s="10"/>
      <c r="G3565" s="10">
        <v>72.5</v>
      </c>
      <c r="H3565" s="10"/>
      <c r="I3565" s="10">
        <v>76.739999999999995</v>
      </c>
    </row>
    <row r="3566" spans="1:9" s="2" customFormat="1" ht="21.75" customHeight="1">
      <c r="A3566" s="8" t="s">
        <v>23</v>
      </c>
      <c r="B3566" s="8" t="s">
        <v>26</v>
      </c>
      <c r="C3566" s="9" t="str">
        <f t="shared" si="86"/>
        <v>230128</v>
      </c>
      <c r="D3566" s="9" t="str">
        <f>"230906701"</f>
        <v>230906701</v>
      </c>
      <c r="E3566" s="10">
        <v>76.98</v>
      </c>
      <c r="F3566" s="10"/>
      <c r="G3566" s="10">
        <v>76.5</v>
      </c>
      <c r="H3566" s="10"/>
      <c r="I3566" s="10">
        <v>76.69</v>
      </c>
    </row>
    <row r="3567" spans="1:9" s="3" customFormat="1" ht="21.75" customHeight="1">
      <c r="A3567" s="8" t="s">
        <v>23</v>
      </c>
      <c r="B3567" s="8" t="s">
        <v>26</v>
      </c>
      <c r="C3567" s="9" t="str">
        <f t="shared" si="86"/>
        <v>230128</v>
      </c>
      <c r="D3567" s="9" t="str">
        <f>"230906527"</f>
        <v>230906527</v>
      </c>
      <c r="E3567" s="10">
        <v>66.42</v>
      </c>
      <c r="F3567" s="10"/>
      <c r="G3567" s="10">
        <v>83.5</v>
      </c>
      <c r="H3567" s="10"/>
      <c r="I3567" s="10">
        <v>76.67</v>
      </c>
    </row>
    <row r="3568" spans="1:9" s="3" customFormat="1" ht="21.75" customHeight="1">
      <c r="A3568" s="8" t="s">
        <v>23</v>
      </c>
      <c r="B3568" s="8" t="s">
        <v>26</v>
      </c>
      <c r="C3568" s="9" t="str">
        <f t="shared" si="86"/>
        <v>230128</v>
      </c>
      <c r="D3568" s="9" t="str">
        <f>"230906811"</f>
        <v>230906811</v>
      </c>
      <c r="E3568" s="10">
        <v>77.569999999999993</v>
      </c>
      <c r="F3568" s="10"/>
      <c r="G3568" s="10">
        <v>76</v>
      </c>
      <c r="H3568" s="10"/>
      <c r="I3568" s="10">
        <v>76.63</v>
      </c>
    </row>
    <row r="3569" spans="1:9" s="2" customFormat="1" ht="21.75" customHeight="1">
      <c r="A3569" s="8" t="s">
        <v>23</v>
      </c>
      <c r="B3569" s="8" t="s">
        <v>26</v>
      </c>
      <c r="C3569" s="9" t="str">
        <f t="shared" si="86"/>
        <v>230128</v>
      </c>
      <c r="D3569" s="9" t="str">
        <f>"230906613"</f>
        <v>230906613</v>
      </c>
      <c r="E3569" s="10">
        <v>77.56</v>
      </c>
      <c r="F3569" s="10"/>
      <c r="G3569" s="10">
        <v>76</v>
      </c>
      <c r="H3569" s="10"/>
      <c r="I3569" s="10">
        <v>76.62</v>
      </c>
    </row>
    <row r="3570" spans="1:9" s="2" customFormat="1" ht="21.75" customHeight="1">
      <c r="A3570" s="8" t="s">
        <v>23</v>
      </c>
      <c r="B3570" s="8" t="s">
        <v>26</v>
      </c>
      <c r="C3570" s="9" t="str">
        <f t="shared" si="86"/>
        <v>230128</v>
      </c>
      <c r="D3570" s="9" t="str">
        <f>"230906523"</f>
        <v>230906523</v>
      </c>
      <c r="E3570" s="10">
        <v>77.11</v>
      </c>
      <c r="F3570" s="10"/>
      <c r="G3570" s="10">
        <v>76</v>
      </c>
      <c r="H3570" s="10"/>
      <c r="I3570" s="10">
        <v>76.44</v>
      </c>
    </row>
    <row r="3571" spans="1:9" s="3" customFormat="1" ht="21.75" customHeight="1">
      <c r="A3571" s="8" t="s">
        <v>23</v>
      </c>
      <c r="B3571" s="8" t="s">
        <v>26</v>
      </c>
      <c r="C3571" s="9" t="str">
        <f t="shared" si="86"/>
        <v>230128</v>
      </c>
      <c r="D3571" s="9" t="str">
        <f>"230907003"</f>
        <v>230907003</v>
      </c>
      <c r="E3571" s="10">
        <v>71.02</v>
      </c>
      <c r="F3571" s="10"/>
      <c r="G3571" s="10">
        <v>80</v>
      </c>
      <c r="H3571" s="10"/>
      <c r="I3571" s="10">
        <v>76.41</v>
      </c>
    </row>
    <row r="3572" spans="1:9" s="2" customFormat="1" ht="21.75" customHeight="1">
      <c r="A3572" s="8" t="s">
        <v>23</v>
      </c>
      <c r="B3572" s="8" t="s">
        <v>26</v>
      </c>
      <c r="C3572" s="9" t="str">
        <f t="shared" si="86"/>
        <v>230128</v>
      </c>
      <c r="D3572" s="9" t="str">
        <f>"230906623"</f>
        <v>230906623</v>
      </c>
      <c r="E3572" s="10">
        <v>79.53</v>
      </c>
      <c r="F3572" s="10"/>
      <c r="G3572" s="10">
        <v>74</v>
      </c>
      <c r="H3572" s="10"/>
      <c r="I3572" s="10">
        <v>76.209999999999994</v>
      </c>
    </row>
    <row r="3573" spans="1:9" s="2" customFormat="1" ht="21.75" customHeight="1">
      <c r="A3573" s="8" t="s">
        <v>23</v>
      </c>
      <c r="B3573" s="8" t="s">
        <v>26</v>
      </c>
      <c r="C3573" s="9" t="str">
        <f t="shared" si="86"/>
        <v>230128</v>
      </c>
      <c r="D3573" s="9" t="str">
        <f>"230906625"</f>
        <v>230906625</v>
      </c>
      <c r="E3573" s="10">
        <v>78.73</v>
      </c>
      <c r="F3573" s="10"/>
      <c r="G3573" s="10">
        <v>74.5</v>
      </c>
      <c r="H3573" s="10"/>
      <c r="I3573" s="10">
        <v>76.19</v>
      </c>
    </row>
    <row r="3574" spans="1:9" s="2" customFormat="1" ht="21.75" customHeight="1">
      <c r="A3574" s="8" t="s">
        <v>23</v>
      </c>
      <c r="B3574" s="8" t="s">
        <v>26</v>
      </c>
      <c r="C3574" s="9" t="str">
        <f t="shared" si="86"/>
        <v>230128</v>
      </c>
      <c r="D3574" s="9" t="str">
        <f>"230906525"</f>
        <v>230906525</v>
      </c>
      <c r="E3574" s="10">
        <v>77.2</v>
      </c>
      <c r="F3574" s="10"/>
      <c r="G3574" s="10">
        <v>75.5</v>
      </c>
      <c r="H3574" s="10"/>
      <c r="I3574" s="10">
        <v>76.180000000000007</v>
      </c>
    </row>
    <row r="3575" spans="1:9" s="3" customFormat="1" ht="21.75" customHeight="1">
      <c r="A3575" s="8" t="s">
        <v>23</v>
      </c>
      <c r="B3575" s="8" t="s">
        <v>26</v>
      </c>
      <c r="C3575" s="9" t="str">
        <f t="shared" si="86"/>
        <v>230128</v>
      </c>
      <c r="D3575" s="9" t="str">
        <f>"230906620"</f>
        <v>230906620</v>
      </c>
      <c r="E3575" s="10">
        <v>75.73</v>
      </c>
      <c r="F3575" s="10"/>
      <c r="G3575" s="10">
        <v>76</v>
      </c>
      <c r="H3575" s="10"/>
      <c r="I3575" s="10">
        <v>75.89</v>
      </c>
    </row>
    <row r="3576" spans="1:9" s="3" customFormat="1" ht="21.75" customHeight="1">
      <c r="A3576" s="8" t="s">
        <v>23</v>
      </c>
      <c r="B3576" s="8" t="s">
        <v>26</v>
      </c>
      <c r="C3576" s="9" t="str">
        <f t="shared" si="86"/>
        <v>230128</v>
      </c>
      <c r="D3576" s="9" t="str">
        <f>"230906722"</f>
        <v>230906722</v>
      </c>
      <c r="E3576" s="10">
        <v>74.92</v>
      </c>
      <c r="F3576" s="10"/>
      <c r="G3576" s="10">
        <v>76.5</v>
      </c>
      <c r="H3576" s="10"/>
      <c r="I3576" s="10">
        <v>75.87</v>
      </c>
    </row>
    <row r="3577" spans="1:9" s="2" customFormat="1" ht="21.75" customHeight="1">
      <c r="A3577" s="8" t="s">
        <v>23</v>
      </c>
      <c r="B3577" s="8" t="s">
        <v>26</v>
      </c>
      <c r="C3577" s="9" t="str">
        <f t="shared" si="86"/>
        <v>230128</v>
      </c>
      <c r="D3577" s="9" t="str">
        <f>"230906917"</f>
        <v>230906917</v>
      </c>
      <c r="E3577" s="10">
        <v>76.989999999999995</v>
      </c>
      <c r="F3577" s="10"/>
      <c r="G3577" s="10">
        <v>75</v>
      </c>
      <c r="H3577" s="10"/>
      <c r="I3577" s="10">
        <v>75.8</v>
      </c>
    </row>
    <row r="3578" spans="1:9" s="2" customFormat="1" ht="21.75" customHeight="1">
      <c r="A3578" s="8" t="s">
        <v>23</v>
      </c>
      <c r="B3578" s="8" t="s">
        <v>26</v>
      </c>
      <c r="C3578" s="9" t="str">
        <f t="shared" si="86"/>
        <v>230128</v>
      </c>
      <c r="D3578" s="9" t="str">
        <f>"230906825"</f>
        <v>230906825</v>
      </c>
      <c r="E3578" s="10">
        <v>80.91</v>
      </c>
      <c r="F3578" s="10"/>
      <c r="G3578" s="10">
        <v>71.5</v>
      </c>
      <c r="H3578" s="10"/>
      <c r="I3578" s="10">
        <v>75.260000000000005</v>
      </c>
    </row>
    <row r="3579" spans="1:9" s="3" customFormat="1" ht="21.75" customHeight="1">
      <c r="A3579" s="8" t="s">
        <v>23</v>
      </c>
      <c r="B3579" s="8" t="s">
        <v>26</v>
      </c>
      <c r="C3579" s="9" t="str">
        <f t="shared" si="86"/>
        <v>230128</v>
      </c>
      <c r="D3579" s="9" t="str">
        <f>"230906521"</f>
        <v>230906521</v>
      </c>
      <c r="E3579" s="10">
        <v>70.319999999999993</v>
      </c>
      <c r="F3579" s="10"/>
      <c r="G3579" s="10">
        <v>78.5</v>
      </c>
      <c r="H3579" s="10"/>
      <c r="I3579" s="10">
        <v>75.23</v>
      </c>
    </row>
    <row r="3580" spans="1:9" s="2" customFormat="1" ht="21.75" customHeight="1">
      <c r="A3580" s="8" t="s">
        <v>23</v>
      </c>
      <c r="B3580" s="8" t="s">
        <v>26</v>
      </c>
      <c r="C3580" s="9" t="str">
        <f t="shared" si="86"/>
        <v>230128</v>
      </c>
      <c r="D3580" s="9" t="str">
        <f>"230906718"</f>
        <v>230906718</v>
      </c>
      <c r="E3580" s="10">
        <v>73.66</v>
      </c>
      <c r="F3580" s="10"/>
      <c r="G3580" s="10">
        <v>76</v>
      </c>
      <c r="H3580" s="10"/>
      <c r="I3580" s="10">
        <v>75.06</v>
      </c>
    </row>
    <row r="3581" spans="1:9" s="3" customFormat="1" ht="21.75" customHeight="1">
      <c r="A3581" s="8" t="s">
        <v>23</v>
      </c>
      <c r="B3581" s="8" t="s">
        <v>26</v>
      </c>
      <c r="C3581" s="9" t="str">
        <f t="shared" si="86"/>
        <v>230128</v>
      </c>
      <c r="D3581" s="9" t="str">
        <f>"230906908"</f>
        <v>230906908</v>
      </c>
      <c r="E3581" s="10">
        <v>63.66</v>
      </c>
      <c r="F3581" s="10"/>
      <c r="G3581" s="10">
        <v>82.5</v>
      </c>
      <c r="H3581" s="10"/>
      <c r="I3581" s="10">
        <v>74.959999999999994</v>
      </c>
    </row>
    <row r="3582" spans="1:9" s="2" customFormat="1" ht="21.75" customHeight="1">
      <c r="A3582" s="8" t="s">
        <v>23</v>
      </c>
      <c r="B3582" s="8" t="s">
        <v>26</v>
      </c>
      <c r="C3582" s="9" t="str">
        <f t="shared" si="86"/>
        <v>230128</v>
      </c>
      <c r="D3582" s="9" t="str">
        <f>"230907016"</f>
        <v>230907016</v>
      </c>
      <c r="E3582" s="10">
        <v>82.97</v>
      </c>
      <c r="F3582" s="10"/>
      <c r="G3582" s="10">
        <v>69.5</v>
      </c>
      <c r="H3582" s="10"/>
      <c r="I3582" s="10">
        <v>74.89</v>
      </c>
    </row>
    <row r="3583" spans="1:9" s="3" customFormat="1" ht="21.75" customHeight="1">
      <c r="A3583" s="8" t="s">
        <v>23</v>
      </c>
      <c r="B3583" s="8" t="s">
        <v>26</v>
      </c>
      <c r="C3583" s="9" t="str">
        <f t="shared" si="86"/>
        <v>230128</v>
      </c>
      <c r="D3583" s="9" t="str">
        <f>"230906812"</f>
        <v>230906812</v>
      </c>
      <c r="E3583" s="10">
        <v>74.8</v>
      </c>
      <c r="F3583" s="10"/>
      <c r="G3583" s="10">
        <v>74.5</v>
      </c>
      <c r="H3583" s="10"/>
      <c r="I3583" s="10">
        <v>74.62</v>
      </c>
    </row>
    <row r="3584" spans="1:9" s="3" customFormat="1" ht="21.75" customHeight="1">
      <c r="A3584" s="8" t="s">
        <v>23</v>
      </c>
      <c r="B3584" s="8" t="s">
        <v>26</v>
      </c>
      <c r="C3584" s="9" t="str">
        <f t="shared" si="86"/>
        <v>230128</v>
      </c>
      <c r="D3584" s="9" t="str">
        <f>"230906723"</f>
        <v>230906723</v>
      </c>
      <c r="E3584" s="10">
        <v>76.19</v>
      </c>
      <c r="F3584" s="10"/>
      <c r="G3584" s="10">
        <v>73.5</v>
      </c>
      <c r="H3584" s="10"/>
      <c r="I3584" s="10">
        <v>74.58</v>
      </c>
    </row>
    <row r="3585" spans="1:9" s="2" customFormat="1" ht="21.75" customHeight="1">
      <c r="A3585" s="8" t="s">
        <v>23</v>
      </c>
      <c r="B3585" s="8" t="s">
        <v>26</v>
      </c>
      <c r="C3585" s="9" t="str">
        <f t="shared" si="86"/>
        <v>230128</v>
      </c>
      <c r="D3585" s="9" t="str">
        <f>"230907006"</f>
        <v>230907006</v>
      </c>
      <c r="E3585" s="10">
        <v>73.09</v>
      </c>
      <c r="F3585" s="10"/>
      <c r="G3585" s="10">
        <v>75.5</v>
      </c>
      <c r="H3585" s="10"/>
      <c r="I3585" s="10">
        <v>74.540000000000006</v>
      </c>
    </row>
    <row r="3586" spans="1:9" s="2" customFormat="1" ht="21.75" customHeight="1">
      <c r="A3586" s="8" t="s">
        <v>23</v>
      </c>
      <c r="B3586" s="8" t="s">
        <v>26</v>
      </c>
      <c r="C3586" s="9" t="str">
        <f t="shared" si="86"/>
        <v>230128</v>
      </c>
      <c r="D3586" s="9" t="str">
        <f>"230906619"</f>
        <v>230906619</v>
      </c>
      <c r="E3586" s="10">
        <v>73.06</v>
      </c>
      <c r="F3586" s="10"/>
      <c r="G3586" s="10">
        <v>75.5</v>
      </c>
      <c r="H3586" s="10"/>
      <c r="I3586" s="10">
        <v>74.52</v>
      </c>
    </row>
    <row r="3587" spans="1:9" s="3" customFormat="1" ht="21.75" customHeight="1">
      <c r="A3587" s="8" t="s">
        <v>23</v>
      </c>
      <c r="B3587" s="8" t="s">
        <v>26</v>
      </c>
      <c r="C3587" s="9" t="str">
        <f t="shared" si="86"/>
        <v>230128</v>
      </c>
      <c r="D3587" s="9" t="str">
        <f>"230906808"</f>
        <v>230906808</v>
      </c>
      <c r="E3587" s="10">
        <v>71.459999999999994</v>
      </c>
      <c r="F3587" s="10"/>
      <c r="G3587" s="10">
        <v>76.5</v>
      </c>
      <c r="H3587" s="10"/>
      <c r="I3587" s="10">
        <v>74.48</v>
      </c>
    </row>
    <row r="3588" spans="1:9" s="2" customFormat="1" ht="21.75" customHeight="1">
      <c r="A3588" s="8" t="s">
        <v>23</v>
      </c>
      <c r="B3588" s="8" t="s">
        <v>26</v>
      </c>
      <c r="C3588" s="9" t="str">
        <f t="shared" si="86"/>
        <v>230128</v>
      </c>
      <c r="D3588" s="9" t="str">
        <f>"230906518"</f>
        <v>230906518</v>
      </c>
      <c r="E3588" s="10">
        <v>72.87</v>
      </c>
      <c r="F3588" s="10"/>
      <c r="G3588" s="10">
        <v>75.5</v>
      </c>
      <c r="H3588" s="10"/>
      <c r="I3588" s="10">
        <v>74.45</v>
      </c>
    </row>
    <row r="3589" spans="1:9" s="3" customFormat="1" ht="21.75" customHeight="1">
      <c r="A3589" s="8" t="s">
        <v>23</v>
      </c>
      <c r="B3589" s="8" t="s">
        <v>26</v>
      </c>
      <c r="C3589" s="9" t="str">
        <f t="shared" si="86"/>
        <v>230128</v>
      </c>
      <c r="D3589" s="9" t="str">
        <f>"230907013"</f>
        <v>230907013</v>
      </c>
      <c r="E3589" s="10">
        <v>75.16</v>
      </c>
      <c r="F3589" s="10"/>
      <c r="G3589" s="10">
        <v>73.5</v>
      </c>
      <c r="H3589" s="10"/>
      <c r="I3589" s="10">
        <v>74.16</v>
      </c>
    </row>
    <row r="3590" spans="1:9" s="3" customFormat="1" ht="21.75" customHeight="1">
      <c r="A3590" s="8" t="s">
        <v>23</v>
      </c>
      <c r="B3590" s="8" t="s">
        <v>26</v>
      </c>
      <c r="C3590" s="9" t="str">
        <f t="shared" si="86"/>
        <v>230128</v>
      </c>
      <c r="D3590" s="9" t="str">
        <f>"230906712"</f>
        <v>230906712</v>
      </c>
      <c r="E3590" s="10">
        <v>73.56</v>
      </c>
      <c r="F3590" s="10"/>
      <c r="G3590" s="10">
        <v>74.5</v>
      </c>
      <c r="H3590" s="10"/>
      <c r="I3590" s="10">
        <v>74.12</v>
      </c>
    </row>
    <row r="3591" spans="1:9" s="2" customFormat="1" ht="21.75" customHeight="1">
      <c r="A3591" s="8" t="s">
        <v>23</v>
      </c>
      <c r="B3591" s="8" t="s">
        <v>26</v>
      </c>
      <c r="C3591" s="9" t="str">
        <f t="shared" si="86"/>
        <v>230128</v>
      </c>
      <c r="D3591" s="9" t="str">
        <f>"230906902"</f>
        <v>230906902</v>
      </c>
      <c r="E3591" s="10">
        <v>71.459999999999994</v>
      </c>
      <c r="F3591" s="10"/>
      <c r="G3591" s="10">
        <v>75.5</v>
      </c>
      <c r="H3591" s="10"/>
      <c r="I3591" s="10">
        <v>73.88</v>
      </c>
    </row>
    <row r="3592" spans="1:9" s="2" customFormat="1" ht="21.75" customHeight="1">
      <c r="A3592" s="8" t="s">
        <v>23</v>
      </c>
      <c r="B3592" s="8" t="s">
        <v>26</v>
      </c>
      <c r="C3592" s="9" t="str">
        <f t="shared" ref="C3592:C3623" si="87">"230128"</f>
        <v>230128</v>
      </c>
      <c r="D3592" s="9" t="str">
        <f>"230906520"</f>
        <v>230906520</v>
      </c>
      <c r="E3592" s="10">
        <v>69.39</v>
      </c>
      <c r="F3592" s="10"/>
      <c r="G3592" s="10">
        <v>76.5</v>
      </c>
      <c r="H3592" s="10"/>
      <c r="I3592" s="10">
        <v>73.66</v>
      </c>
    </row>
    <row r="3593" spans="1:9" s="2" customFormat="1" ht="21.75" customHeight="1">
      <c r="A3593" s="8" t="s">
        <v>23</v>
      </c>
      <c r="B3593" s="8" t="s">
        <v>26</v>
      </c>
      <c r="C3593" s="9" t="str">
        <f t="shared" si="87"/>
        <v>230128</v>
      </c>
      <c r="D3593" s="9" t="str">
        <f>"230906516"</f>
        <v>230906516</v>
      </c>
      <c r="E3593" s="10">
        <v>74.23</v>
      </c>
      <c r="F3593" s="10"/>
      <c r="G3593" s="10">
        <v>73</v>
      </c>
      <c r="H3593" s="10"/>
      <c r="I3593" s="10">
        <v>73.489999999999995</v>
      </c>
    </row>
    <row r="3594" spans="1:9" s="3" customFormat="1" ht="21.75" customHeight="1">
      <c r="A3594" s="8" t="s">
        <v>23</v>
      </c>
      <c r="B3594" s="8" t="s">
        <v>26</v>
      </c>
      <c r="C3594" s="9" t="str">
        <f t="shared" si="87"/>
        <v>230128</v>
      </c>
      <c r="D3594" s="9" t="str">
        <f>"230906517"</f>
        <v>230906517</v>
      </c>
      <c r="E3594" s="10">
        <v>73.900000000000006</v>
      </c>
      <c r="F3594" s="10"/>
      <c r="G3594" s="10">
        <v>73</v>
      </c>
      <c r="H3594" s="10"/>
      <c r="I3594" s="10">
        <v>73.36</v>
      </c>
    </row>
    <row r="3595" spans="1:9" s="2" customFormat="1" ht="21.75" customHeight="1">
      <c r="A3595" s="8" t="s">
        <v>23</v>
      </c>
      <c r="B3595" s="8" t="s">
        <v>26</v>
      </c>
      <c r="C3595" s="9" t="str">
        <f t="shared" si="87"/>
        <v>230128</v>
      </c>
      <c r="D3595" s="9" t="str">
        <f>"230906602"</f>
        <v>230906602</v>
      </c>
      <c r="E3595" s="10">
        <v>70.900000000000006</v>
      </c>
      <c r="F3595" s="10"/>
      <c r="G3595" s="10">
        <v>75</v>
      </c>
      <c r="H3595" s="10"/>
      <c r="I3595" s="10">
        <v>73.36</v>
      </c>
    </row>
    <row r="3596" spans="1:9" s="2" customFormat="1" ht="21.75" customHeight="1">
      <c r="A3596" s="8" t="s">
        <v>23</v>
      </c>
      <c r="B3596" s="8" t="s">
        <v>26</v>
      </c>
      <c r="C3596" s="9" t="str">
        <f t="shared" si="87"/>
        <v>230128</v>
      </c>
      <c r="D3596" s="9" t="str">
        <f>"230906910"</f>
        <v>230906910</v>
      </c>
      <c r="E3596" s="10">
        <v>76.63</v>
      </c>
      <c r="F3596" s="10"/>
      <c r="G3596" s="10">
        <v>71</v>
      </c>
      <c r="H3596" s="10"/>
      <c r="I3596" s="10">
        <v>73.25</v>
      </c>
    </row>
    <row r="3597" spans="1:9" s="2" customFormat="1" ht="21.75" customHeight="1">
      <c r="A3597" s="8" t="s">
        <v>23</v>
      </c>
      <c r="B3597" s="8" t="s">
        <v>26</v>
      </c>
      <c r="C3597" s="9" t="str">
        <f t="shared" si="87"/>
        <v>230128</v>
      </c>
      <c r="D3597" s="9" t="str">
        <f>"230906624"</f>
        <v>230906624</v>
      </c>
      <c r="E3597" s="10">
        <v>70.53</v>
      </c>
      <c r="F3597" s="10"/>
      <c r="G3597" s="10">
        <v>75</v>
      </c>
      <c r="H3597" s="10"/>
      <c r="I3597" s="10">
        <v>73.209999999999994</v>
      </c>
    </row>
    <row r="3598" spans="1:9" s="3" customFormat="1" ht="21.75" customHeight="1">
      <c r="A3598" s="8" t="s">
        <v>23</v>
      </c>
      <c r="B3598" s="8" t="s">
        <v>26</v>
      </c>
      <c r="C3598" s="9" t="str">
        <f t="shared" si="87"/>
        <v>230128</v>
      </c>
      <c r="D3598" s="9" t="str">
        <f>"230906826"</f>
        <v>230906826</v>
      </c>
      <c r="E3598" s="10">
        <v>69.599999999999994</v>
      </c>
      <c r="F3598" s="10"/>
      <c r="G3598" s="10">
        <v>75.5</v>
      </c>
      <c r="H3598" s="10"/>
      <c r="I3598" s="10">
        <v>73.14</v>
      </c>
    </row>
    <row r="3599" spans="1:9" s="3" customFormat="1" ht="21.75" customHeight="1">
      <c r="A3599" s="8" t="s">
        <v>23</v>
      </c>
      <c r="B3599" s="8" t="s">
        <v>26</v>
      </c>
      <c r="C3599" s="9" t="str">
        <f t="shared" si="87"/>
        <v>230128</v>
      </c>
      <c r="D3599" s="9" t="str">
        <f>"230906928"</f>
        <v>230906928</v>
      </c>
      <c r="E3599" s="10">
        <v>68.709999999999994</v>
      </c>
      <c r="F3599" s="10"/>
      <c r="G3599" s="10">
        <v>76</v>
      </c>
      <c r="H3599" s="10"/>
      <c r="I3599" s="10">
        <v>73.08</v>
      </c>
    </row>
    <row r="3600" spans="1:9" s="2" customFormat="1" ht="21.75" customHeight="1">
      <c r="A3600" s="8" t="s">
        <v>23</v>
      </c>
      <c r="B3600" s="8" t="s">
        <v>26</v>
      </c>
      <c r="C3600" s="9" t="str">
        <f t="shared" si="87"/>
        <v>230128</v>
      </c>
      <c r="D3600" s="9" t="str">
        <f>"230907004"</f>
        <v>230907004</v>
      </c>
      <c r="E3600" s="10">
        <v>69.05</v>
      </c>
      <c r="F3600" s="10"/>
      <c r="G3600" s="10">
        <v>75.5</v>
      </c>
      <c r="H3600" s="10"/>
      <c r="I3600" s="10">
        <v>72.92</v>
      </c>
    </row>
    <row r="3601" spans="1:9" s="3" customFormat="1" ht="21.75" customHeight="1">
      <c r="A3601" s="8" t="s">
        <v>23</v>
      </c>
      <c r="B3601" s="8" t="s">
        <v>26</v>
      </c>
      <c r="C3601" s="9" t="str">
        <f t="shared" si="87"/>
        <v>230128</v>
      </c>
      <c r="D3601" s="9" t="str">
        <f>"230906603"</f>
        <v>230906603</v>
      </c>
      <c r="E3601" s="10">
        <v>65.95</v>
      </c>
      <c r="F3601" s="10"/>
      <c r="G3601" s="10">
        <v>77.5</v>
      </c>
      <c r="H3601" s="10"/>
      <c r="I3601" s="10">
        <v>72.88</v>
      </c>
    </row>
    <row r="3602" spans="1:9" s="3" customFormat="1" ht="21.75" customHeight="1">
      <c r="A3602" s="8" t="s">
        <v>23</v>
      </c>
      <c r="B3602" s="8" t="s">
        <v>26</v>
      </c>
      <c r="C3602" s="9" t="str">
        <f t="shared" si="87"/>
        <v>230128</v>
      </c>
      <c r="D3602" s="9" t="str">
        <f>"230906614"</f>
        <v>230906614</v>
      </c>
      <c r="E3602" s="10">
        <v>72.61</v>
      </c>
      <c r="F3602" s="10"/>
      <c r="G3602" s="10">
        <v>73</v>
      </c>
      <c r="H3602" s="10"/>
      <c r="I3602" s="10">
        <v>72.84</v>
      </c>
    </row>
    <row r="3603" spans="1:9" s="2" customFormat="1" ht="21.75" customHeight="1">
      <c r="A3603" s="8" t="s">
        <v>23</v>
      </c>
      <c r="B3603" s="8" t="s">
        <v>26</v>
      </c>
      <c r="C3603" s="9" t="str">
        <f t="shared" si="87"/>
        <v>230128</v>
      </c>
      <c r="D3603" s="9" t="str">
        <f>"230906719"</f>
        <v>230906719</v>
      </c>
      <c r="E3603" s="10">
        <v>74</v>
      </c>
      <c r="F3603" s="10"/>
      <c r="G3603" s="10">
        <v>72</v>
      </c>
      <c r="H3603" s="10"/>
      <c r="I3603" s="10">
        <v>72.8</v>
      </c>
    </row>
    <row r="3604" spans="1:9" s="2" customFormat="1" ht="21.75" customHeight="1">
      <c r="A3604" s="8" t="s">
        <v>23</v>
      </c>
      <c r="B3604" s="8" t="s">
        <v>26</v>
      </c>
      <c r="C3604" s="9" t="str">
        <f t="shared" si="87"/>
        <v>230128</v>
      </c>
      <c r="D3604" s="9" t="str">
        <f>"230906612"</f>
        <v>230906612</v>
      </c>
      <c r="E3604" s="10">
        <v>70.209999999999994</v>
      </c>
      <c r="F3604" s="10"/>
      <c r="G3604" s="10">
        <v>74.5</v>
      </c>
      <c r="H3604" s="10"/>
      <c r="I3604" s="10">
        <v>72.78</v>
      </c>
    </row>
    <row r="3605" spans="1:9" s="2" customFormat="1" ht="21.75" customHeight="1">
      <c r="A3605" s="8" t="s">
        <v>23</v>
      </c>
      <c r="B3605" s="8" t="s">
        <v>26</v>
      </c>
      <c r="C3605" s="9" t="str">
        <f t="shared" si="87"/>
        <v>230128</v>
      </c>
      <c r="D3605" s="9" t="str">
        <f>"230906621"</f>
        <v>230906621</v>
      </c>
      <c r="E3605" s="10">
        <v>69.41</v>
      </c>
      <c r="F3605" s="10"/>
      <c r="G3605" s="10">
        <v>75</v>
      </c>
      <c r="H3605" s="10"/>
      <c r="I3605" s="10">
        <v>72.760000000000005</v>
      </c>
    </row>
    <row r="3606" spans="1:9" s="2" customFormat="1" ht="21.75" customHeight="1">
      <c r="A3606" s="8" t="s">
        <v>23</v>
      </c>
      <c r="B3606" s="8" t="s">
        <v>26</v>
      </c>
      <c r="C3606" s="9" t="str">
        <f t="shared" si="87"/>
        <v>230128</v>
      </c>
      <c r="D3606" s="9" t="str">
        <f>"230906730"</f>
        <v>230906730</v>
      </c>
      <c r="E3606" s="10">
        <v>63.97</v>
      </c>
      <c r="F3606" s="10"/>
      <c r="G3606" s="10">
        <v>78</v>
      </c>
      <c r="H3606" s="10"/>
      <c r="I3606" s="10">
        <v>72.39</v>
      </c>
    </row>
    <row r="3607" spans="1:9" s="3" customFormat="1" ht="21.75" customHeight="1">
      <c r="A3607" s="8" t="s">
        <v>23</v>
      </c>
      <c r="B3607" s="8" t="s">
        <v>26</v>
      </c>
      <c r="C3607" s="9" t="str">
        <f t="shared" si="87"/>
        <v>230128</v>
      </c>
      <c r="D3607" s="9" t="str">
        <f>"230906814"</f>
        <v>230906814</v>
      </c>
      <c r="E3607" s="10">
        <v>69.98</v>
      </c>
      <c r="F3607" s="10"/>
      <c r="G3607" s="10">
        <v>74</v>
      </c>
      <c r="H3607" s="10"/>
      <c r="I3607" s="10">
        <v>72.39</v>
      </c>
    </row>
    <row r="3608" spans="1:9" s="3" customFormat="1" ht="21.75" customHeight="1">
      <c r="A3608" s="8" t="s">
        <v>23</v>
      </c>
      <c r="B3608" s="8" t="s">
        <v>26</v>
      </c>
      <c r="C3608" s="9" t="str">
        <f t="shared" si="87"/>
        <v>230128</v>
      </c>
      <c r="D3608" s="9" t="str">
        <f>"230906915"</f>
        <v>230906915</v>
      </c>
      <c r="E3608" s="10">
        <v>75.040000000000006</v>
      </c>
      <c r="F3608" s="10"/>
      <c r="G3608" s="10">
        <v>70.5</v>
      </c>
      <c r="H3608" s="10"/>
      <c r="I3608" s="10">
        <v>72.319999999999993</v>
      </c>
    </row>
    <row r="3609" spans="1:9" s="2" customFormat="1" ht="21.75" customHeight="1">
      <c r="A3609" s="8" t="s">
        <v>23</v>
      </c>
      <c r="B3609" s="8" t="s">
        <v>26</v>
      </c>
      <c r="C3609" s="9" t="str">
        <f t="shared" si="87"/>
        <v>230128</v>
      </c>
      <c r="D3609" s="9" t="str">
        <f>"230906903"</f>
        <v>230906903</v>
      </c>
      <c r="E3609" s="10">
        <v>62.97</v>
      </c>
      <c r="F3609" s="10"/>
      <c r="G3609" s="10">
        <v>78.5</v>
      </c>
      <c r="H3609" s="10"/>
      <c r="I3609" s="10">
        <v>72.290000000000006</v>
      </c>
    </row>
    <row r="3610" spans="1:9" s="2" customFormat="1" ht="21.75" customHeight="1">
      <c r="A3610" s="8" t="s">
        <v>23</v>
      </c>
      <c r="B3610" s="8" t="s">
        <v>26</v>
      </c>
      <c r="C3610" s="9" t="str">
        <f t="shared" si="87"/>
        <v>230128</v>
      </c>
      <c r="D3610" s="9" t="str">
        <f>"230906816"</f>
        <v>230906816</v>
      </c>
      <c r="E3610" s="10">
        <v>71.69</v>
      </c>
      <c r="F3610" s="10"/>
      <c r="G3610" s="10">
        <v>72.5</v>
      </c>
      <c r="H3610" s="10"/>
      <c r="I3610" s="10">
        <v>72.180000000000007</v>
      </c>
    </row>
    <row r="3611" spans="1:9" s="2" customFormat="1" ht="21.75" customHeight="1">
      <c r="A3611" s="8" t="s">
        <v>23</v>
      </c>
      <c r="B3611" s="8" t="s">
        <v>26</v>
      </c>
      <c r="C3611" s="9" t="str">
        <f t="shared" si="87"/>
        <v>230128</v>
      </c>
      <c r="D3611" s="9" t="str">
        <f>"230906708"</f>
        <v>230906708</v>
      </c>
      <c r="E3611" s="10">
        <v>73.08</v>
      </c>
      <c r="F3611" s="10"/>
      <c r="G3611" s="10">
        <v>71.5</v>
      </c>
      <c r="H3611" s="10"/>
      <c r="I3611" s="10">
        <v>72.13</v>
      </c>
    </row>
    <row r="3612" spans="1:9" s="2" customFormat="1" ht="21.75" customHeight="1">
      <c r="A3612" s="8" t="s">
        <v>23</v>
      </c>
      <c r="B3612" s="8" t="s">
        <v>26</v>
      </c>
      <c r="C3612" s="9" t="str">
        <f t="shared" si="87"/>
        <v>230128</v>
      </c>
      <c r="D3612" s="9" t="str">
        <f>"230906927"</f>
        <v>230906927</v>
      </c>
      <c r="E3612" s="10">
        <v>64.56</v>
      </c>
      <c r="F3612" s="10"/>
      <c r="G3612" s="10">
        <v>77</v>
      </c>
      <c r="H3612" s="10"/>
      <c r="I3612" s="10">
        <v>72.02</v>
      </c>
    </row>
    <row r="3613" spans="1:9" s="2" customFormat="1" ht="21.75" customHeight="1">
      <c r="A3613" s="8" t="s">
        <v>23</v>
      </c>
      <c r="B3613" s="8" t="s">
        <v>26</v>
      </c>
      <c r="C3613" s="9" t="str">
        <f t="shared" si="87"/>
        <v>230128</v>
      </c>
      <c r="D3613" s="9" t="str">
        <f>"230906601"</f>
        <v>230906601</v>
      </c>
      <c r="E3613" s="10">
        <v>71.010000000000005</v>
      </c>
      <c r="F3613" s="10"/>
      <c r="G3613" s="10">
        <v>72.5</v>
      </c>
      <c r="H3613" s="10"/>
      <c r="I3613" s="10">
        <v>71.900000000000006</v>
      </c>
    </row>
    <row r="3614" spans="1:9" s="2" customFormat="1" ht="21.75" customHeight="1">
      <c r="A3614" s="8" t="s">
        <v>23</v>
      </c>
      <c r="B3614" s="8" t="s">
        <v>26</v>
      </c>
      <c r="C3614" s="9" t="str">
        <f t="shared" si="87"/>
        <v>230128</v>
      </c>
      <c r="D3614" s="9" t="str">
        <f>"230906813"</f>
        <v>230906813</v>
      </c>
      <c r="E3614" s="10">
        <v>66.510000000000005</v>
      </c>
      <c r="F3614" s="10"/>
      <c r="G3614" s="10">
        <v>75.5</v>
      </c>
      <c r="H3614" s="10"/>
      <c r="I3614" s="10">
        <v>71.900000000000006</v>
      </c>
    </row>
    <row r="3615" spans="1:9" s="3" customFormat="1" ht="21.75" customHeight="1">
      <c r="A3615" s="8" t="s">
        <v>23</v>
      </c>
      <c r="B3615" s="8" t="s">
        <v>26</v>
      </c>
      <c r="C3615" s="9" t="str">
        <f t="shared" si="87"/>
        <v>230128</v>
      </c>
      <c r="D3615" s="9" t="str">
        <f>"230906819"</f>
        <v>230906819</v>
      </c>
      <c r="E3615" s="10">
        <v>75.739999999999995</v>
      </c>
      <c r="F3615" s="10"/>
      <c r="G3615" s="10">
        <v>69</v>
      </c>
      <c r="H3615" s="10"/>
      <c r="I3615" s="10">
        <v>71.7</v>
      </c>
    </row>
    <row r="3616" spans="1:9" s="2" customFormat="1" ht="21.75" customHeight="1">
      <c r="A3616" s="8" t="s">
        <v>23</v>
      </c>
      <c r="B3616" s="8" t="s">
        <v>26</v>
      </c>
      <c r="C3616" s="9" t="str">
        <f t="shared" si="87"/>
        <v>230128</v>
      </c>
      <c r="D3616" s="9" t="str">
        <f>"230907019"</f>
        <v>230907019</v>
      </c>
      <c r="E3616" s="10">
        <v>69.98</v>
      </c>
      <c r="F3616" s="10"/>
      <c r="G3616" s="10">
        <v>72.5</v>
      </c>
      <c r="H3616" s="10"/>
      <c r="I3616" s="10">
        <v>71.489999999999995</v>
      </c>
    </row>
    <row r="3617" spans="1:9" s="2" customFormat="1" ht="21.75" customHeight="1">
      <c r="A3617" s="8" t="s">
        <v>23</v>
      </c>
      <c r="B3617" s="8" t="s">
        <v>26</v>
      </c>
      <c r="C3617" s="9" t="str">
        <f t="shared" si="87"/>
        <v>230128</v>
      </c>
      <c r="D3617" s="9" t="str">
        <f>"230906828"</f>
        <v>230906828</v>
      </c>
      <c r="E3617" s="10">
        <v>66.400000000000006</v>
      </c>
      <c r="F3617" s="10"/>
      <c r="G3617" s="10">
        <v>74.5</v>
      </c>
      <c r="H3617" s="10"/>
      <c r="I3617" s="10">
        <v>71.260000000000005</v>
      </c>
    </row>
    <row r="3618" spans="1:9" s="2" customFormat="1" ht="21.75" customHeight="1">
      <c r="A3618" s="8" t="s">
        <v>23</v>
      </c>
      <c r="B3618" s="8" t="s">
        <v>26</v>
      </c>
      <c r="C3618" s="9" t="str">
        <f t="shared" si="87"/>
        <v>230128</v>
      </c>
      <c r="D3618" s="9" t="str">
        <f>"230906919"</f>
        <v>230906919</v>
      </c>
      <c r="E3618" s="10">
        <v>66.069999999999993</v>
      </c>
      <c r="F3618" s="10"/>
      <c r="G3618" s="10">
        <v>74.5</v>
      </c>
      <c r="H3618" s="10"/>
      <c r="I3618" s="10">
        <v>71.13</v>
      </c>
    </row>
    <row r="3619" spans="1:9" s="2" customFormat="1" ht="21.75" customHeight="1">
      <c r="A3619" s="8" t="s">
        <v>23</v>
      </c>
      <c r="B3619" s="8" t="s">
        <v>26</v>
      </c>
      <c r="C3619" s="9" t="str">
        <f t="shared" si="87"/>
        <v>230128</v>
      </c>
      <c r="D3619" s="9" t="str">
        <f>"230906629"</f>
        <v>230906629</v>
      </c>
      <c r="E3619" s="10">
        <v>65.010000000000005</v>
      </c>
      <c r="F3619" s="10"/>
      <c r="G3619" s="10">
        <v>75</v>
      </c>
      <c r="H3619" s="10"/>
      <c r="I3619" s="10">
        <v>71</v>
      </c>
    </row>
    <row r="3620" spans="1:9" s="2" customFormat="1" ht="21.75" customHeight="1">
      <c r="A3620" s="8" t="s">
        <v>23</v>
      </c>
      <c r="B3620" s="8" t="s">
        <v>26</v>
      </c>
      <c r="C3620" s="9" t="str">
        <f t="shared" si="87"/>
        <v>230128</v>
      </c>
      <c r="D3620" s="9" t="str">
        <f>"230906907"</f>
        <v>230906907</v>
      </c>
      <c r="E3620" s="10">
        <v>64.209999999999994</v>
      </c>
      <c r="F3620" s="10"/>
      <c r="G3620" s="10">
        <v>75.5</v>
      </c>
      <c r="H3620" s="10"/>
      <c r="I3620" s="10">
        <v>70.98</v>
      </c>
    </row>
    <row r="3621" spans="1:9" s="2" customFormat="1" ht="21.75" customHeight="1">
      <c r="A3621" s="8" t="s">
        <v>23</v>
      </c>
      <c r="B3621" s="8" t="s">
        <v>26</v>
      </c>
      <c r="C3621" s="9" t="str">
        <f t="shared" si="87"/>
        <v>230128</v>
      </c>
      <c r="D3621" s="9" t="str">
        <f>"230907022"</f>
        <v>230907022</v>
      </c>
      <c r="E3621" s="10">
        <v>64.81</v>
      </c>
      <c r="F3621" s="10"/>
      <c r="G3621" s="10">
        <v>75</v>
      </c>
      <c r="H3621" s="10"/>
      <c r="I3621" s="10">
        <v>70.92</v>
      </c>
    </row>
    <row r="3622" spans="1:9" s="3" customFormat="1" ht="21.75" customHeight="1">
      <c r="A3622" s="8" t="s">
        <v>23</v>
      </c>
      <c r="B3622" s="8" t="s">
        <v>26</v>
      </c>
      <c r="C3622" s="9" t="str">
        <f t="shared" si="87"/>
        <v>230128</v>
      </c>
      <c r="D3622" s="9" t="str">
        <f>"230906724"</f>
        <v>230906724</v>
      </c>
      <c r="E3622" s="10">
        <v>69.06</v>
      </c>
      <c r="F3622" s="10"/>
      <c r="G3622" s="10">
        <v>72</v>
      </c>
      <c r="H3622" s="10"/>
      <c r="I3622" s="10">
        <v>70.819999999999993</v>
      </c>
    </row>
    <row r="3623" spans="1:9" s="2" customFormat="1" ht="21.75" customHeight="1">
      <c r="A3623" s="8" t="s">
        <v>23</v>
      </c>
      <c r="B3623" s="8" t="s">
        <v>26</v>
      </c>
      <c r="C3623" s="9" t="str">
        <f t="shared" si="87"/>
        <v>230128</v>
      </c>
      <c r="D3623" s="9" t="str">
        <f>"230906924"</f>
        <v>230906924</v>
      </c>
      <c r="E3623" s="10">
        <v>61.49</v>
      </c>
      <c r="F3623" s="10"/>
      <c r="G3623" s="10">
        <v>77</v>
      </c>
      <c r="H3623" s="10"/>
      <c r="I3623" s="10">
        <v>70.8</v>
      </c>
    </row>
    <row r="3624" spans="1:9" s="2" customFormat="1" ht="21.75" customHeight="1">
      <c r="A3624" s="8" t="s">
        <v>23</v>
      </c>
      <c r="B3624" s="8" t="s">
        <v>26</v>
      </c>
      <c r="C3624" s="9" t="str">
        <f t="shared" ref="C3624:C3655" si="88">"230128"</f>
        <v>230128</v>
      </c>
      <c r="D3624" s="9" t="str">
        <f>"230906914"</f>
        <v>230906914</v>
      </c>
      <c r="E3624" s="10">
        <v>69.62</v>
      </c>
      <c r="F3624" s="10"/>
      <c r="G3624" s="10">
        <v>71.5</v>
      </c>
      <c r="H3624" s="10"/>
      <c r="I3624" s="10">
        <v>70.75</v>
      </c>
    </row>
    <row r="3625" spans="1:9" s="2" customFormat="1" ht="21.75" customHeight="1">
      <c r="A3625" s="8" t="s">
        <v>23</v>
      </c>
      <c r="B3625" s="8" t="s">
        <v>26</v>
      </c>
      <c r="C3625" s="9" t="str">
        <f t="shared" si="88"/>
        <v>230128</v>
      </c>
      <c r="D3625" s="9" t="str">
        <f>"230906720"</f>
        <v>230906720</v>
      </c>
      <c r="E3625" s="10">
        <v>55.16</v>
      </c>
      <c r="F3625" s="10"/>
      <c r="G3625" s="10">
        <v>81</v>
      </c>
      <c r="H3625" s="10"/>
      <c r="I3625" s="10">
        <v>70.66</v>
      </c>
    </row>
    <row r="3626" spans="1:9" s="3" customFormat="1" ht="21.75" customHeight="1">
      <c r="A3626" s="8" t="s">
        <v>23</v>
      </c>
      <c r="B3626" s="8" t="s">
        <v>26</v>
      </c>
      <c r="C3626" s="9" t="str">
        <f t="shared" si="88"/>
        <v>230128</v>
      </c>
      <c r="D3626" s="9" t="str">
        <f>"230906905"</f>
        <v>230906905</v>
      </c>
      <c r="E3626" s="10">
        <v>67.56</v>
      </c>
      <c r="F3626" s="10"/>
      <c r="G3626" s="10">
        <v>72.5</v>
      </c>
      <c r="H3626" s="10"/>
      <c r="I3626" s="10">
        <v>70.52</v>
      </c>
    </row>
    <row r="3627" spans="1:9" s="2" customFormat="1" ht="21.75" customHeight="1">
      <c r="A3627" s="8" t="s">
        <v>23</v>
      </c>
      <c r="B3627" s="8" t="s">
        <v>26</v>
      </c>
      <c r="C3627" s="9" t="str">
        <f t="shared" si="88"/>
        <v>230128</v>
      </c>
      <c r="D3627" s="9" t="str">
        <f>"230906606"</f>
        <v>230906606</v>
      </c>
      <c r="E3627" s="10">
        <v>71.239999999999995</v>
      </c>
      <c r="F3627" s="10"/>
      <c r="G3627" s="10">
        <v>69.5</v>
      </c>
      <c r="H3627" s="10"/>
      <c r="I3627" s="10">
        <v>70.2</v>
      </c>
    </row>
    <row r="3628" spans="1:9" s="2" customFormat="1" ht="21.75" customHeight="1">
      <c r="A3628" s="8" t="s">
        <v>23</v>
      </c>
      <c r="B3628" s="8" t="s">
        <v>26</v>
      </c>
      <c r="C3628" s="9" t="str">
        <f t="shared" si="88"/>
        <v>230128</v>
      </c>
      <c r="D3628" s="9" t="str">
        <f>"230906607"</f>
        <v>230906607</v>
      </c>
      <c r="E3628" s="10">
        <v>64.23</v>
      </c>
      <c r="F3628" s="10"/>
      <c r="G3628" s="10">
        <v>74</v>
      </c>
      <c r="H3628" s="10"/>
      <c r="I3628" s="10">
        <v>70.09</v>
      </c>
    </row>
    <row r="3629" spans="1:9" s="2" customFormat="1" ht="21.75" customHeight="1">
      <c r="A3629" s="8" t="s">
        <v>23</v>
      </c>
      <c r="B3629" s="8" t="s">
        <v>26</v>
      </c>
      <c r="C3629" s="9" t="str">
        <f t="shared" si="88"/>
        <v>230128</v>
      </c>
      <c r="D3629" s="9" t="str">
        <f>"230906829"</f>
        <v>230906829</v>
      </c>
      <c r="E3629" s="10">
        <v>68.69</v>
      </c>
      <c r="F3629" s="10"/>
      <c r="G3629" s="10">
        <v>71</v>
      </c>
      <c r="H3629" s="10"/>
      <c r="I3629" s="10">
        <v>70.08</v>
      </c>
    </row>
    <row r="3630" spans="1:9" s="2" customFormat="1" ht="21.75" customHeight="1">
      <c r="A3630" s="8" t="s">
        <v>23</v>
      </c>
      <c r="B3630" s="8" t="s">
        <v>26</v>
      </c>
      <c r="C3630" s="9" t="str">
        <f t="shared" si="88"/>
        <v>230128</v>
      </c>
      <c r="D3630" s="9" t="str">
        <f>"230906920"</f>
        <v>230906920</v>
      </c>
      <c r="E3630" s="10">
        <v>62.6</v>
      </c>
      <c r="F3630" s="10"/>
      <c r="G3630" s="10">
        <v>75</v>
      </c>
      <c r="H3630" s="10"/>
      <c r="I3630" s="10">
        <v>70.040000000000006</v>
      </c>
    </row>
    <row r="3631" spans="1:9" s="2" customFormat="1" ht="21.75" customHeight="1">
      <c r="A3631" s="8" t="s">
        <v>23</v>
      </c>
      <c r="B3631" s="8" t="s">
        <v>26</v>
      </c>
      <c r="C3631" s="9" t="str">
        <f t="shared" si="88"/>
        <v>230128</v>
      </c>
      <c r="D3631" s="9" t="str">
        <f>"230906912"</f>
        <v>230906912</v>
      </c>
      <c r="E3631" s="10">
        <v>66.3</v>
      </c>
      <c r="F3631" s="10"/>
      <c r="G3631" s="10">
        <v>72.5</v>
      </c>
      <c r="H3631" s="10"/>
      <c r="I3631" s="10">
        <v>70.02</v>
      </c>
    </row>
    <row r="3632" spans="1:9" s="2" customFormat="1" ht="21.75" customHeight="1">
      <c r="A3632" s="8" t="s">
        <v>23</v>
      </c>
      <c r="B3632" s="8" t="s">
        <v>26</v>
      </c>
      <c r="C3632" s="9" t="str">
        <f t="shared" si="88"/>
        <v>230128</v>
      </c>
      <c r="D3632" s="9" t="str">
        <f>"230907012"</f>
        <v>230907012</v>
      </c>
      <c r="E3632" s="10">
        <v>74.56</v>
      </c>
      <c r="F3632" s="10"/>
      <c r="G3632" s="10">
        <v>67</v>
      </c>
      <c r="H3632" s="10"/>
      <c r="I3632" s="10">
        <v>70.02</v>
      </c>
    </row>
    <row r="3633" spans="1:9" s="3" customFormat="1" ht="21.75" customHeight="1">
      <c r="A3633" s="8" t="s">
        <v>23</v>
      </c>
      <c r="B3633" s="8" t="s">
        <v>26</v>
      </c>
      <c r="C3633" s="9" t="str">
        <f t="shared" si="88"/>
        <v>230128</v>
      </c>
      <c r="D3633" s="9" t="str">
        <f>"230906815"</f>
        <v>230906815</v>
      </c>
      <c r="E3633" s="10">
        <v>71.47</v>
      </c>
      <c r="F3633" s="10"/>
      <c r="G3633" s="10">
        <v>69</v>
      </c>
      <c r="H3633" s="10"/>
      <c r="I3633" s="10">
        <v>69.989999999999995</v>
      </c>
    </row>
    <row r="3634" spans="1:9" s="3" customFormat="1" ht="21.75" customHeight="1">
      <c r="A3634" s="8" t="s">
        <v>23</v>
      </c>
      <c r="B3634" s="8" t="s">
        <v>26</v>
      </c>
      <c r="C3634" s="9" t="str">
        <f t="shared" si="88"/>
        <v>230128</v>
      </c>
      <c r="D3634" s="9" t="str">
        <f>"230906706"</f>
        <v>230906706</v>
      </c>
      <c r="E3634" s="10">
        <v>62.03</v>
      </c>
      <c r="F3634" s="10"/>
      <c r="G3634" s="10">
        <v>75</v>
      </c>
      <c r="H3634" s="10"/>
      <c r="I3634" s="10">
        <v>69.81</v>
      </c>
    </row>
    <row r="3635" spans="1:9" s="2" customFormat="1" ht="21.75" customHeight="1">
      <c r="A3635" s="8" t="s">
        <v>23</v>
      </c>
      <c r="B3635" s="8" t="s">
        <v>26</v>
      </c>
      <c r="C3635" s="9" t="str">
        <f t="shared" si="88"/>
        <v>230128</v>
      </c>
      <c r="D3635" s="9" t="str">
        <f>"230906807"</f>
        <v>230906807</v>
      </c>
      <c r="E3635" s="10">
        <v>65.72</v>
      </c>
      <c r="F3635" s="10"/>
      <c r="G3635" s="10">
        <v>72.5</v>
      </c>
      <c r="H3635" s="10"/>
      <c r="I3635" s="10">
        <v>69.790000000000006</v>
      </c>
    </row>
    <row r="3636" spans="1:9" s="3" customFormat="1" ht="21.75" customHeight="1">
      <c r="A3636" s="8" t="s">
        <v>23</v>
      </c>
      <c r="B3636" s="8" t="s">
        <v>26</v>
      </c>
      <c r="C3636" s="9" t="str">
        <f t="shared" si="88"/>
        <v>230128</v>
      </c>
      <c r="D3636" s="9" t="str">
        <f>"230906618"</f>
        <v>230906618</v>
      </c>
      <c r="E3636" s="10">
        <v>64.47</v>
      </c>
      <c r="F3636" s="10"/>
      <c r="G3636" s="10">
        <v>73</v>
      </c>
      <c r="H3636" s="10"/>
      <c r="I3636" s="10">
        <v>69.59</v>
      </c>
    </row>
    <row r="3637" spans="1:9" s="3" customFormat="1" ht="21.75" customHeight="1">
      <c r="A3637" s="8" t="s">
        <v>23</v>
      </c>
      <c r="B3637" s="8" t="s">
        <v>26</v>
      </c>
      <c r="C3637" s="9" t="str">
        <f t="shared" si="88"/>
        <v>230128</v>
      </c>
      <c r="D3637" s="9" t="str">
        <f>"230906705"</f>
        <v>230906705</v>
      </c>
      <c r="E3637" s="10">
        <v>71.81</v>
      </c>
      <c r="F3637" s="10"/>
      <c r="G3637" s="10">
        <v>68</v>
      </c>
      <c r="H3637" s="10"/>
      <c r="I3637" s="10">
        <v>69.52</v>
      </c>
    </row>
    <row r="3638" spans="1:9" s="3" customFormat="1" ht="21.75" customHeight="1">
      <c r="A3638" s="8" t="s">
        <v>23</v>
      </c>
      <c r="B3638" s="8" t="s">
        <v>26</v>
      </c>
      <c r="C3638" s="9" t="str">
        <f t="shared" si="88"/>
        <v>230128</v>
      </c>
      <c r="D3638" s="9" t="str">
        <f>"230906909"</f>
        <v>230906909</v>
      </c>
      <c r="E3638" s="10">
        <v>70.88</v>
      </c>
      <c r="F3638" s="10"/>
      <c r="G3638" s="10">
        <v>68.5</v>
      </c>
      <c r="H3638" s="10"/>
      <c r="I3638" s="10">
        <v>69.45</v>
      </c>
    </row>
    <row r="3639" spans="1:9" s="3" customFormat="1" ht="21.75" customHeight="1">
      <c r="A3639" s="8" t="s">
        <v>23</v>
      </c>
      <c r="B3639" s="8" t="s">
        <v>26</v>
      </c>
      <c r="C3639" s="9" t="str">
        <f t="shared" si="88"/>
        <v>230128</v>
      </c>
      <c r="D3639" s="9" t="str">
        <f>"230906725"</f>
        <v>230906725</v>
      </c>
      <c r="E3639" s="10">
        <v>73.3</v>
      </c>
      <c r="F3639" s="10"/>
      <c r="G3639" s="10">
        <v>66.5</v>
      </c>
      <c r="H3639" s="10"/>
      <c r="I3639" s="10">
        <v>69.22</v>
      </c>
    </row>
    <row r="3640" spans="1:9" s="2" customFormat="1" ht="21.75" customHeight="1">
      <c r="A3640" s="8" t="s">
        <v>23</v>
      </c>
      <c r="B3640" s="8" t="s">
        <v>26</v>
      </c>
      <c r="C3640" s="9" t="str">
        <f t="shared" si="88"/>
        <v>230128</v>
      </c>
      <c r="D3640" s="9" t="str">
        <f>"230906530"</f>
        <v>230906530</v>
      </c>
      <c r="E3640" s="10">
        <v>61.93</v>
      </c>
      <c r="F3640" s="10"/>
      <c r="G3640" s="10">
        <v>74</v>
      </c>
      <c r="H3640" s="10"/>
      <c r="I3640" s="10">
        <v>69.17</v>
      </c>
    </row>
    <row r="3641" spans="1:9" s="2" customFormat="1" ht="21.75" customHeight="1">
      <c r="A3641" s="8" t="s">
        <v>23</v>
      </c>
      <c r="B3641" s="8" t="s">
        <v>26</v>
      </c>
      <c r="C3641" s="9" t="str">
        <f t="shared" si="88"/>
        <v>230128</v>
      </c>
      <c r="D3641" s="9" t="str">
        <f>"230907011"</f>
        <v>230907011</v>
      </c>
      <c r="E3641" s="10">
        <v>68.83</v>
      </c>
      <c r="F3641" s="10"/>
      <c r="G3641" s="10">
        <v>69</v>
      </c>
      <c r="H3641" s="10"/>
      <c r="I3641" s="10">
        <v>68.930000000000007</v>
      </c>
    </row>
    <row r="3642" spans="1:9" s="2" customFormat="1" ht="21.75" customHeight="1">
      <c r="A3642" s="8" t="s">
        <v>23</v>
      </c>
      <c r="B3642" s="8" t="s">
        <v>26</v>
      </c>
      <c r="C3642" s="9" t="str">
        <f t="shared" si="88"/>
        <v>230128</v>
      </c>
      <c r="D3642" s="9" t="str">
        <f>"230906715"</f>
        <v>230906715</v>
      </c>
      <c r="E3642" s="10">
        <v>67.22</v>
      </c>
      <c r="F3642" s="10"/>
      <c r="G3642" s="10">
        <v>70</v>
      </c>
      <c r="H3642" s="10"/>
      <c r="I3642" s="10">
        <v>68.89</v>
      </c>
    </row>
    <row r="3643" spans="1:9" s="2" customFormat="1" ht="21.75" customHeight="1">
      <c r="A3643" s="8" t="s">
        <v>23</v>
      </c>
      <c r="B3643" s="8" t="s">
        <v>26</v>
      </c>
      <c r="C3643" s="9" t="str">
        <f t="shared" si="88"/>
        <v>230128</v>
      </c>
      <c r="D3643" s="9" t="str">
        <f>"230906519"</f>
        <v>230906519</v>
      </c>
      <c r="E3643" s="10">
        <v>63.32</v>
      </c>
      <c r="F3643" s="10"/>
      <c r="G3643" s="10">
        <v>72.5</v>
      </c>
      <c r="H3643" s="10"/>
      <c r="I3643" s="10">
        <v>68.83</v>
      </c>
    </row>
    <row r="3644" spans="1:9" s="2" customFormat="1" ht="21.75" customHeight="1">
      <c r="A3644" s="8" t="s">
        <v>23</v>
      </c>
      <c r="B3644" s="8" t="s">
        <v>26</v>
      </c>
      <c r="C3644" s="9" t="str">
        <f t="shared" si="88"/>
        <v>230128</v>
      </c>
      <c r="D3644" s="9" t="str">
        <f>"230906711"</f>
        <v>230906711</v>
      </c>
      <c r="E3644" s="10">
        <v>63.31</v>
      </c>
      <c r="F3644" s="10"/>
      <c r="G3644" s="10">
        <v>72.5</v>
      </c>
      <c r="H3644" s="10"/>
      <c r="I3644" s="10">
        <v>68.819999999999993</v>
      </c>
    </row>
    <row r="3645" spans="1:9" s="2" customFormat="1" ht="21.75" customHeight="1">
      <c r="A3645" s="8" t="s">
        <v>23</v>
      </c>
      <c r="B3645" s="8" t="s">
        <v>26</v>
      </c>
      <c r="C3645" s="9" t="str">
        <f t="shared" si="88"/>
        <v>230128</v>
      </c>
      <c r="D3645" s="9" t="str">
        <f>"230906823"</f>
        <v>230906823</v>
      </c>
      <c r="E3645" s="10">
        <v>72.150000000000006</v>
      </c>
      <c r="F3645" s="10"/>
      <c r="G3645" s="10">
        <v>66.5</v>
      </c>
      <c r="H3645" s="10"/>
      <c r="I3645" s="10">
        <v>68.760000000000005</v>
      </c>
    </row>
    <row r="3646" spans="1:9" s="2" customFormat="1" ht="21.75" customHeight="1">
      <c r="A3646" s="8" t="s">
        <v>23</v>
      </c>
      <c r="B3646" s="8" t="s">
        <v>26</v>
      </c>
      <c r="C3646" s="9" t="str">
        <f t="shared" si="88"/>
        <v>230128</v>
      </c>
      <c r="D3646" s="9" t="str">
        <f>"230906609"</f>
        <v>230906609</v>
      </c>
      <c r="E3646" s="10">
        <v>57.77</v>
      </c>
      <c r="F3646" s="10"/>
      <c r="G3646" s="10">
        <v>76</v>
      </c>
      <c r="H3646" s="10"/>
      <c r="I3646" s="10">
        <v>68.709999999999994</v>
      </c>
    </row>
    <row r="3647" spans="1:9" s="3" customFormat="1" ht="21.75" customHeight="1">
      <c r="A3647" s="8" t="s">
        <v>23</v>
      </c>
      <c r="B3647" s="8" t="s">
        <v>26</v>
      </c>
      <c r="C3647" s="9" t="str">
        <f t="shared" si="88"/>
        <v>230128</v>
      </c>
      <c r="D3647" s="9" t="str">
        <f>"230906805"</f>
        <v>230906805</v>
      </c>
      <c r="E3647" s="10">
        <v>70.53</v>
      </c>
      <c r="F3647" s="10"/>
      <c r="G3647" s="10">
        <v>67.5</v>
      </c>
      <c r="H3647" s="10"/>
      <c r="I3647" s="10">
        <v>68.709999999999994</v>
      </c>
    </row>
    <row r="3648" spans="1:9" s="2" customFormat="1" ht="21.75" customHeight="1">
      <c r="A3648" s="8" t="s">
        <v>23</v>
      </c>
      <c r="B3648" s="8" t="s">
        <v>26</v>
      </c>
      <c r="C3648" s="9" t="str">
        <f t="shared" si="88"/>
        <v>230128</v>
      </c>
      <c r="D3648" s="9" t="str">
        <f>"230906729"</f>
        <v>230906729</v>
      </c>
      <c r="E3648" s="10">
        <v>63.32</v>
      </c>
      <c r="F3648" s="10"/>
      <c r="G3648" s="10">
        <v>72</v>
      </c>
      <c r="H3648" s="10"/>
      <c r="I3648" s="10">
        <v>68.53</v>
      </c>
    </row>
    <row r="3649" spans="1:9" s="2" customFormat="1" ht="21.75" customHeight="1">
      <c r="A3649" s="8" t="s">
        <v>23</v>
      </c>
      <c r="B3649" s="8" t="s">
        <v>26</v>
      </c>
      <c r="C3649" s="9" t="str">
        <f t="shared" si="88"/>
        <v>230128</v>
      </c>
      <c r="D3649" s="9" t="str">
        <f>"230906714"</f>
        <v>230906714</v>
      </c>
      <c r="E3649" s="10">
        <v>66.069999999999993</v>
      </c>
      <c r="F3649" s="10"/>
      <c r="G3649" s="10">
        <v>70</v>
      </c>
      <c r="H3649" s="10"/>
      <c r="I3649" s="10">
        <v>68.430000000000007</v>
      </c>
    </row>
    <row r="3650" spans="1:9" s="2" customFormat="1" ht="21.75" customHeight="1">
      <c r="A3650" s="8" t="s">
        <v>23</v>
      </c>
      <c r="B3650" s="8" t="s">
        <v>26</v>
      </c>
      <c r="C3650" s="9" t="str">
        <f t="shared" si="88"/>
        <v>230128</v>
      </c>
      <c r="D3650" s="9" t="str">
        <f>"230906604"</f>
        <v>230906604</v>
      </c>
      <c r="E3650" s="10">
        <v>63.4</v>
      </c>
      <c r="F3650" s="10"/>
      <c r="G3650" s="10">
        <v>71.5</v>
      </c>
      <c r="H3650" s="10"/>
      <c r="I3650" s="10">
        <v>68.260000000000005</v>
      </c>
    </row>
    <row r="3651" spans="1:9" s="3" customFormat="1" ht="21.75" customHeight="1">
      <c r="A3651" s="8" t="s">
        <v>23</v>
      </c>
      <c r="B3651" s="8" t="s">
        <v>26</v>
      </c>
      <c r="C3651" s="9" t="str">
        <f t="shared" si="88"/>
        <v>230128</v>
      </c>
      <c r="D3651" s="9" t="str">
        <f>"230906709"</f>
        <v>230906709</v>
      </c>
      <c r="E3651" s="10">
        <v>58.15</v>
      </c>
      <c r="F3651" s="10"/>
      <c r="G3651" s="10">
        <v>75</v>
      </c>
      <c r="H3651" s="10"/>
      <c r="I3651" s="10">
        <v>68.260000000000005</v>
      </c>
    </row>
    <row r="3652" spans="1:9" s="2" customFormat="1" ht="21.75" customHeight="1">
      <c r="A3652" s="8" t="s">
        <v>23</v>
      </c>
      <c r="B3652" s="8" t="s">
        <v>26</v>
      </c>
      <c r="C3652" s="9" t="str">
        <f t="shared" si="88"/>
        <v>230128</v>
      </c>
      <c r="D3652" s="9" t="str">
        <f>"230906921"</f>
        <v>230906921</v>
      </c>
      <c r="E3652" s="10">
        <v>71.239999999999995</v>
      </c>
      <c r="F3652" s="10"/>
      <c r="G3652" s="10">
        <v>65.5</v>
      </c>
      <c r="H3652" s="10"/>
      <c r="I3652" s="10">
        <v>67.8</v>
      </c>
    </row>
    <row r="3653" spans="1:9" s="3" customFormat="1" ht="21.75" customHeight="1">
      <c r="A3653" s="8" t="s">
        <v>23</v>
      </c>
      <c r="B3653" s="8" t="s">
        <v>26</v>
      </c>
      <c r="C3653" s="9" t="str">
        <f t="shared" si="88"/>
        <v>230128</v>
      </c>
      <c r="D3653" s="9" t="str">
        <f>"230907015"</f>
        <v>230907015</v>
      </c>
      <c r="E3653" s="10">
        <v>59.97</v>
      </c>
      <c r="F3653" s="10"/>
      <c r="G3653" s="10">
        <v>73</v>
      </c>
      <c r="H3653" s="10"/>
      <c r="I3653" s="10">
        <v>67.790000000000006</v>
      </c>
    </row>
    <row r="3654" spans="1:9" s="3" customFormat="1" ht="21.75" customHeight="1">
      <c r="A3654" s="8" t="s">
        <v>23</v>
      </c>
      <c r="B3654" s="8" t="s">
        <v>26</v>
      </c>
      <c r="C3654" s="9" t="str">
        <f t="shared" si="88"/>
        <v>230128</v>
      </c>
      <c r="D3654" s="9" t="str">
        <f>"230906824"</f>
        <v>230906824</v>
      </c>
      <c r="E3654" s="10">
        <v>59.65</v>
      </c>
      <c r="F3654" s="10"/>
      <c r="G3654" s="10">
        <v>72.5</v>
      </c>
      <c r="H3654" s="10"/>
      <c r="I3654" s="10">
        <v>67.36</v>
      </c>
    </row>
    <row r="3655" spans="1:9" s="2" customFormat="1" ht="21.75" customHeight="1">
      <c r="A3655" s="8" t="s">
        <v>23</v>
      </c>
      <c r="B3655" s="8" t="s">
        <v>26</v>
      </c>
      <c r="C3655" s="9" t="str">
        <f t="shared" si="88"/>
        <v>230128</v>
      </c>
      <c r="D3655" s="9" t="str">
        <f>"230906721"</f>
        <v>230906721</v>
      </c>
      <c r="E3655" s="10">
        <v>63.65</v>
      </c>
      <c r="F3655" s="10"/>
      <c r="G3655" s="10">
        <v>69.5</v>
      </c>
      <c r="H3655" s="10"/>
      <c r="I3655" s="10">
        <v>67.16</v>
      </c>
    </row>
    <row r="3656" spans="1:9" s="2" customFormat="1" ht="21.75" customHeight="1">
      <c r="A3656" s="8" t="s">
        <v>23</v>
      </c>
      <c r="B3656" s="8" t="s">
        <v>26</v>
      </c>
      <c r="C3656" s="9" t="str">
        <f t="shared" ref="C3656:C3687" si="89">"230128"</f>
        <v>230128</v>
      </c>
      <c r="D3656" s="9" t="str">
        <f>"230906716"</f>
        <v>230906716</v>
      </c>
      <c r="E3656" s="10">
        <v>60.9</v>
      </c>
      <c r="F3656" s="10"/>
      <c r="G3656" s="10">
        <v>70</v>
      </c>
      <c r="H3656" s="10"/>
      <c r="I3656" s="10">
        <v>66.36</v>
      </c>
    </row>
    <row r="3657" spans="1:9" s="2" customFormat="1" ht="21.75" customHeight="1">
      <c r="A3657" s="8" t="s">
        <v>23</v>
      </c>
      <c r="B3657" s="8" t="s">
        <v>26</v>
      </c>
      <c r="C3657" s="9" t="str">
        <f t="shared" si="89"/>
        <v>230128</v>
      </c>
      <c r="D3657" s="9" t="str">
        <f>"230906605"</f>
        <v>230906605</v>
      </c>
      <c r="E3657" s="10">
        <v>62.37</v>
      </c>
      <c r="F3657" s="10"/>
      <c r="G3657" s="10">
        <v>69</v>
      </c>
      <c r="H3657" s="10"/>
      <c r="I3657" s="10">
        <v>66.349999999999994</v>
      </c>
    </row>
    <row r="3658" spans="1:9" s="2" customFormat="1" ht="21.75" customHeight="1">
      <c r="A3658" s="8" t="s">
        <v>23</v>
      </c>
      <c r="B3658" s="8" t="s">
        <v>26</v>
      </c>
      <c r="C3658" s="9" t="str">
        <f t="shared" si="89"/>
        <v>230128</v>
      </c>
      <c r="D3658" s="9" t="str">
        <f>"230906703"</f>
        <v>230906703</v>
      </c>
      <c r="E3658" s="10">
        <v>58.02</v>
      </c>
      <c r="F3658" s="10"/>
      <c r="G3658" s="10">
        <v>71.5</v>
      </c>
      <c r="H3658" s="10"/>
      <c r="I3658" s="10">
        <v>66.11</v>
      </c>
    </row>
    <row r="3659" spans="1:9" s="2" customFormat="1" ht="21.75" customHeight="1">
      <c r="A3659" s="8" t="s">
        <v>23</v>
      </c>
      <c r="B3659" s="8" t="s">
        <v>26</v>
      </c>
      <c r="C3659" s="9" t="str">
        <f t="shared" si="89"/>
        <v>230128</v>
      </c>
      <c r="D3659" s="9" t="str">
        <f>"230907001"</f>
        <v>230907001</v>
      </c>
      <c r="E3659" s="10">
        <v>66.88</v>
      </c>
      <c r="F3659" s="10"/>
      <c r="G3659" s="10">
        <v>65.5</v>
      </c>
      <c r="H3659" s="10"/>
      <c r="I3659" s="10">
        <v>66.05</v>
      </c>
    </row>
    <row r="3660" spans="1:9" s="3" customFormat="1" ht="21.75" customHeight="1">
      <c r="A3660" s="8" t="s">
        <v>23</v>
      </c>
      <c r="B3660" s="8" t="s">
        <v>26</v>
      </c>
      <c r="C3660" s="9" t="str">
        <f t="shared" si="89"/>
        <v>230128</v>
      </c>
      <c r="D3660" s="9" t="str">
        <f>"230907009"</f>
        <v>230907009</v>
      </c>
      <c r="E3660" s="10">
        <v>69.39</v>
      </c>
      <c r="F3660" s="10">
        <v>2</v>
      </c>
      <c r="G3660" s="10">
        <v>60</v>
      </c>
      <c r="H3660" s="10">
        <v>2</v>
      </c>
      <c r="I3660" s="11">
        <v>65.760000000000005</v>
      </c>
    </row>
    <row r="3661" spans="1:9" s="2" customFormat="1" ht="21.75" customHeight="1">
      <c r="A3661" s="8" t="s">
        <v>23</v>
      </c>
      <c r="B3661" s="8" t="s">
        <v>26</v>
      </c>
      <c r="C3661" s="9" t="str">
        <f t="shared" si="89"/>
        <v>230128</v>
      </c>
      <c r="D3661" s="9" t="str">
        <f>"230906929"</f>
        <v>230906929</v>
      </c>
      <c r="E3661" s="10">
        <v>58.23</v>
      </c>
      <c r="F3661" s="10"/>
      <c r="G3661" s="10">
        <v>70.5</v>
      </c>
      <c r="H3661" s="10"/>
      <c r="I3661" s="10">
        <v>65.59</v>
      </c>
    </row>
    <row r="3662" spans="1:9" s="3" customFormat="1" ht="21.75" customHeight="1">
      <c r="A3662" s="8" t="s">
        <v>23</v>
      </c>
      <c r="B3662" s="8" t="s">
        <v>26</v>
      </c>
      <c r="C3662" s="9" t="str">
        <f t="shared" si="89"/>
        <v>230128</v>
      </c>
      <c r="D3662" s="9" t="str">
        <f>"230906803"</f>
        <v>230906803</v>
      </c>
      <c r="E3662" s="10">
        <v>58.58</v>
      </c>
      <c r="F3662" s="10"/>
      <c r="G3662" s="10">
        <v>70</v>
      </c>
      <c r="H3662" s="10"/>
      <c r="I3662" s="10">
        <v>65.430000000000007</v>
      </c>
    </row>
    <row r="3663" spans="1:9" s="3" customFormat="1" ht="21.75" customHeight="1">
      <c r="A3663" s="8" t="s">
        <v>23</v>
      </c>
      <c r="B3663" s="8" t="s">
        <v>26</v>
      </c>
      <c r="C3663" s="9" t="str">
        <f t="shared" si="89"/>
        <v>230128</v>
      </c>
      <c r="D3663" s="9" t="str">
        <f>"230906810"</f>
        <v>230906810</v>
      </c>
      <c r="E3663" s="10">
        <v>53.53</v>
      </c>
      <c r="F3663" s="10"/>
      <c r="G3663" s="10">
        <v>73</v>
      </c>
      <c r="H3663" s="10"/>
      <c r="I3663" s="10">
        <v>65.209999999999994</v>
      </c>
    </row>
    <row r="3664" spans="1:9" s="2" customFormat="1" ht="21.75" customHeight="1">
      <c r="A3664" s="8" t="s">
        <v>23</v>
      </c>
      <c r="B3664" s="8" t="s">
        <v>26</v>
      </c>
      <c r="C3664" s="9" t="str">
        <f t="shared" si="89"/>
        <v>230128</v>
      </c>
      <c r="D3664" s="9" t="str">
        <f>"230906926"</f>
        <v>230906926</v>
      </c>
      <c r="E3664" s="10">
        <v>60.86</v>
      </c>
      <c r="F3664" s="10"/>
      <c r="G3664" s="10">
        <v>68</v>
      </c>
      <c r="H3664" s="10"/>
      <c r="I3664" s="10">
        <v>65.14</v>
      </c>
    </row>
    <row r="3665" spans="1:9" s="3" customFormat="1" ht="21.75" customHeight="1">
      <c r="A3665" s="8" t="s">
        <v>23</v>
      </c>
      <c r="B3665" s="8" t="s">
        <v>26</v>
      </c>
      <c r="C3665" s="9" t="str">
        <f t="shared" si="89"/>
        <v>230128</v>
      </c>
      <c r="D3665" s="9" t="str">
        <f>"230906524"</f>
        <v>230906524</v>
      </c>
      <c r="E3665" s="10">
        <v>68.83</v>
      </c>
      <c r="F3665" s="10"/>
      <c r="G3665" s="10">
        <v>62.5</v>
      </c>
      <c r="H3665" s="10"/>
      <c r="I3665" s="10">
        <v>65.03</v>
      </c>
    </row>
    <row r="3666" spans="1:9" s="2" customFormat="1" ht="21.75" customHeight="1">
      <c r="A3666" s="8" t="s">
        <v>23</v>
      </c>
      <c r="B3666" s="8" t="s">
        <v>26</v>
      </c>
      <c r="C3666" s="9" t="str">
        <f t="shared" si="89"/>
        <v>230128</v>
      </c>
      <c r="D3666" s="9" t="str">
        <f>"230906615"</f>
        <v>230906615</v>
      </c>
      <c r="E3666" s="10">
        <v>60.21</v>
      </c>
      <c r="F3666" s="10"/>
      <c r="G3666" s="10">
        <v>68</v>
      </c>
      <c r="H3666" s="10"/>
      <c r="I3666" s="10">
        <v>64.88</v>
      </c>
    </row>
    <row r="3667" spans="1:9" s="2" customFormat="1" ht="21.75" customHeight="1">
      <c r="A3667" s="8" t="s">
        <v>23</v>
      </c>
      <c r="B3667" s="8" t="s">
        <v>26</v>
      </c>
      <c r="C3667" s="9" t="str">
        <f t="shared" si="89"/>
        <v>230128</v>
      </c>
      <c r="D3667" s="9" t="str">
        <f>"230906925"</f>
        <v>230906925</v>
      </c>
      <c r="E3667" s="10">
        <v>58.35</v>
      </c>
      <c r="F3667" s="10"/>
      <c r="G3667" s="10">
        <v>68.5</v>
      </c>
      <c r="H3667" s="10"/>
      <c r="I3667" s="10">
        <v>64.44</v>
      </c>
    </row>
    <row r="3668" spans="1:9" s="3" customFormat="1" ht="21.75" customHeight="1">
      <c r="A3668" s="8" t="s">
        <v>23</v>
      </c>
      <c r="B3668" s="8" t="s">
        <v>26</v>
      </c>
      <c r="C3668" s="9" t="str">
        <f t="shared" si="89"/>
        <v>230128</v>
      </c>
      <c r="D3668" s="9" t="str">
        <f>"230906727"</f>
        <v>230906727</v>
      </c>
      <c r="E3668" s="10">
        <v>66.430000000000007</v>
      </c>
      <c r="F3668" s="10"/>
      <c r="G3668" s="10">
        <v>63</v>
      </c>
      <c r="H3668" s="10"/>
      <c r="I3668" s="10">
        <v>64.37</v>
      </c>
    </row>
    <row r="3669" spans="1:9" s="2" customFormat="1" ht="21.75" customHeight="1">
      <c r="A3669" s="8" t="s">
        <v>23</v>
      </c>
      <c r="B3669" s="8" t="s">
        <v>26</v>
      </c>
      <c r="C3669" s="9" t="str">
        <f t="shared" si="89"/>
        <v>230128</v>
      </c>
      <c r="D3669" s="9" t="str">
        <f>"230906526"</f>
        <v>230906526</v>
      </c>
      <c r="E3669" s="10">
        <v>56.98</v>
      </c>
      <c r="F3669" s="10"/>
      <c r="G3669" s="10">
        <v>67.5</v>
      </c>
      <c r="H3669" s="10"/>
      <c r="I3669" s="10">
        <v>63.29</v>
      </c>
    </row>
    <row r="3670" spans="1:9" s="2" customFormat="1" ht="21.75" customHeight="1">
      <c r="A3670" s="8" t="s">
        <v>23</v>
      </c>
      <c r="B3670" s="8" t="s">
        <v>26</v>
      </c>
      <c r="C3670" s="9" t="str">
        <f t="shared" si="89"/>
        <v>230128</v>
      </c>
      <c r="D3670" s="9" t="str">
        <f>"230906522"</f>
        <v>230906522</v>
      </c>
      <c r="E3670" s="10">
        <v>67.31</v>
      </c>
      <c r="F3670" s="10"/>
      <c r="G3670" s="10">
        <v>60.5</v>
      </c>
      <c r="H3670" s="10"/>
      <c r="I3670" s="10">
        <v>63.22</v>
      </c>
    </row>
    <row r="3671" spans="1:9" s="2" customFormat="1" ht="21.75" customHeight="1">
      <c r="A3671" s="8" t="s">
        <v>23</v>
      </c>
      <c r="B3671" s="8" t="s">
        <v>26</v>
      </c>
      <c r="C3671" s="9" t="str">
        <f t="shared" si="89"/>
        <v>230128</v>
      </c>
      <c r="D3671" s="9" t="str">
        <f>"230906809"</f>
        <v>230906809</v>
      </c>
      <c r="E3671" s="10">
        <v>68.69</v>
      </c>
      <c r="F3671" s="10"/>
      <c r="G3671" s="10">
        <v>59</v>
      </c>
      <c r="H3671" s="10"/>
      <c r="I3671" s="10">
        <v>62.88</v>
      </c>
    </row>
    <row r="3672" spans="1:9" s="2" customFormat="1" ht="21.75" customHeight="1">
      <c r="A3672" s="8" t="s">
        <v>23</v>
      </c>
      <c r="B3672" s="8" t="s">
        <v>26</v>
      </c>
      <c r="C3672" s="9" t="str">
        <f t="shared" si="89"/>
        <v>230128</v>
      </c>
      <c r="D3672" s="9" t="str">
        <f>"230906930"</f>
        <v>230906930</v>
      </c>
      <c r="E3672" s="10">
        <v>62.96</v>
      </c>
      <c r="F3672" s="10"/>
      <c r="G3672" s="10">
        <v>61.5</v>
      </c>
      <c r="H3672" s="10"/>
      <c r="I3672" s="10">
        <v>62.08</v>
      </c>
    </row>
    <row r="3673" spans="1:9" s="2" customFormat="1" ht="21.75" customHeight="1">
      <c r="A3673" s="8" t="s">
        <v>23</v>
      </c>
      <c r="B3673" s="8" t="s">
        <v>26</v>
      </c>
      <c r="C3673" s="9" t="str">
        <f t="shared" si="89"/>
        <v>230128</v>
      </c>
      <c r="D3673" s="9" t="str">
        <f>"230906913"</f>
        <v>230906913</v>
      </c>
      <c r="E3673" s="10">
        <v>45.26</v>
      </c>
      <c r="F3673" s="10"/>
      <c r="G3673" s="10">
        <v>72</v>
      </c>
      <c r="H3673" s="10"/>
      <c r="I3673" s="10">
        <v>61.3</v>
      </c>
    </row>
    <row r="3674" spans="1:9" s="2" customFormat="1" ht="21.75" customHeight="1">
      <c r="A3674" s="8" t="s">
        <v>23</v>
      </c>
      <c r="B3674" s="8" t="s">
        <v>26</v>
      </c>
      <c r="C3674" s="9" t="str">
        <f t="shared" si="89"/>
        <v>230128</v>
      </c>
      <c r="D3674" s="9" t="str">
        <f>"230906713"</f>
        <v>230906713</v>
      </c>
      <c r="E3674" s="10">
        <v>58.59</v>
      </c>
      <c r="F3674" s="10"/>
      <c r="G3674" s="10">
        <v>63</v>
      </c>
      <c r="H3674" s="10"/>
      <c r="I3674" s="10">
        <v>61.24</v>
      </c>
    </row>
    <row r="3675" spans="1:9" s="2" customFormat="1" ht="21.75" customHeight="1">
      <c r="A3675" s="8" t="s">
        <v>23</v>
      </c>
      <c r="B3675" s="8" t="s">
        <v>26</v>
      </c>
      <c r="C3675" s="9" t="str">
        <f t="shared" si="89"/>
        <v>230128</v>
      </c>
      <c r="D3675" s="9" t="str">
        <f>"230907020"</f>
        <v>230907020</v>
      </c>
      <c r="E3675" s="10">
        <v>50.18</v>
      </c>
      <c r="F3675" s="10"/>
      <c r="G3675" s="10">
        <v>31</v>
      </c>
      <c r="H3675" s="10"/>
      <c r="I3675" s="10">
        <v>38.67</v>
      </c>
    </row>
    <row r="3676" spans="1:9" s="2" customFormat="1" ht="21.75" customHeight="1">
      <c r="A3676" s="8" t="s">
        <v>23</v>
      </c>
      <c r="B3676" s="8" t="s">
        <v>26</v>
      </c>
      <c r="C3676" s="9" t="str">
        <f t="shared" si="89"/>
        <v>230128</v>
      </c>
      <c r="D3676" s="9" t="str">
        <f>"230906726"</f>
        <v>230906726</v>
      </c>
      <c r="E3676" s="10">
        <v>53.06</v>
      </c>
      <c r="F3676" s="10"/>
      <c r="G3676" s="10">
        <v>0</v>
      </c>
      <c r="H3676" s="10"/>
      <c r="I3676" s="10">
        <v>21.22</v>
      </c>
    </row>
    <row r="3677" spans="1:9" s="3" customFormat="1" ht="21.75" customHeight="1">
      <c r="A3677" s="8" t="s">
        <v>23</v>
      </c>
      <c r="B3677" s="8" t="s">
        <v>26</v>
      </c>
      <c r="C3677" s="9" t="str">
        <f t="shared" si="89"/>
        <v>230128</v>
      </c>
      <c r="D3677" s="9" t="str">
        <f>"230906528"</f>
        <v>230906528</v>
      </c>
      <c r="E3677" s="10">
        <v>0</v>
      </c>
      <c r="F3677" s="10"/>
      <c r="G3677" s="10">
        <v>0</v>
      </c>
      <c r="H3677" s="10"/>
      <c r="I3677" s="10">
        <v>0</v>
      </c>
    </row>
    <row r="3678" spans="1:9" s="2" customFormat="1" ht="21.75" customHeight="1">
      <c r="A3678" s="8" t="s">
        <v>23</v>
      </c>
      <c r="B3678" s="8" t="s">
        <v>26</v>
      </c>
      <c r="C3678" s="9" t="str">
        <f t="shared" si="89"/>
        <v>230128</v>
      </c>
      <c r="D3678" s="9" t="str">
        <f>"230906529"</f>
        <v>230906529</v>
      </c>
      <c r="E3678" s="10">
        <v>0</v>
      </c>
      <c r="F3678" s="10"/>
      <c r="G3678" s="10">
        <v>0</v>
      </c>
      <c r="H3678" s="10"/>
      <c r="I3678" s="10">
        <v>0</v>
      </c>
    </row>
    <row r="3679" spans="1:9" s="3" customFormat="1" ht="21.75" customHeight="1">
      <c r="A3679" s="8" t="s">
        <v>23</v>
      </c>
      <c r="B3679" s="8" t="s">
        <v>26</v>
      </c>
      <c r="C3679" s="9" t="str">
        <f t="shared" si="89"/>
        <v>230128</v>
      </c>
      <c r="D3679" s="9" t="str">
        <f>"230906611"</f>
        <v>230906611</v>
      </c>
      <c r="E3679" s="10">
        <v>0</v>
      </c>
      <c r="F3679" s="10"/>
      <c r="G3679" s="10">
        <v>0</v>
      </c>
      <c r="H3679" s="10"/>
      <c r="I3679" s="10">
        <v>0</v>
      </c>
    </row>
    <row r="3680" spans="1:9" s="3" customFormat="1" ht="21.75" customHeight="1">
      <c r="A3680" s="8" t="s">
        <v>23</v>
      </c>
      <c r="B3680" s="8" t="s">
        <v>26</v>
      </c>
      <c r="C3680" s="9" t="str">
        <f t="shared" si="89"/>
        <v>230128</v>
      </c>
      <c r="D3680" s="9" t="str">
        <f>"230906616"</f>
        <v>230906616</v>
      </c>
      <c r="E3680" s="10">
        <v>0</v>
      </c>
      <c r="F3680" s="10"/>
      <c r="G3680" s="10">
        <v>0</v>
      </c>
      <c r="H3680" s="10"/>
      <c r="I3680" s="10">
        <v>0</v>
      </c>
    </row>
    <row r="3681" spans="1:9" s="2" customFormat="1" ht="21.75" customHeight="1">
      <c r="A3681" s="8" t="s">
        <v>23</v>
      </c>
      <c r="B3681" s="8" t="s">
        <v>26</v>
      </c>
      <c r="C3681" s="9" t="str">
        <f t="shared" si="89"/>
        <v>230128</v>
      </c>
      <c r="D3681" s="9" t="str">
        <f>"230906617"</f>
        <v>230906617</v>
      </c>
      <c r="E3681" s="10">
        <v>0</v>
      </c>
      <c r="F3681" s="10"/>
      <c r="G3681" s="10">
        <v>0</v>
      </c>
      <c r="H3681" s="10"/>
      <c r="I3681" s="10">
        <v>0</v>
      </c>
    </row>
    <row r="3682" spans="1:9" s="2" customFormat="1" ht="21.75" customHeight="1">
      <c r="A3682" s="8" t="s">
        <v>23</v>
      </c>
      <c r="B3682" s="8" t="s">
        <v>26</v>
      </c>
      <c r="C3682" s="9" t="str">
        <f t="shared" si="89"/>
        <v>230128</v>
      </c>
      <c r="D3682" s="9" t="str">
        <f>"230906622"</f>
        <v>230906622</v>
      </c>
      <c r="E3682" s="10">
        <v>0</v>
      </c>
      <c r="F3682" s="10"/>
      <c r="G3682" s="10">
        <v>0</v>
      </c>
      <c r="H3682" s="10"/>
      <c r="I3682" s="10">
        <v>0</v>
      </c>
    </row>
    <row r="3683" spans="1:9" s="3" customFormat="1" ht="21.75" customHeight="1">
      <c r="A3683" s="8" t="s">
        <v>23</v>
      </c>
      <c r="B3683" s="8" t="s">
        <v>26</v>
      </c>
      <c r="C3683" s="9" t="str">
        <f t="shared" si="89"/>
        <v>230128</v>
      </c>
      <c r="D3683" s="9" t="str">
        <f>"230906626"</f>
        <v>230906626</v>
      </c>
      <c r="E3683" s="10">
        <v>0</v>
      </c>
      <c r="F3683" s="10"/>
      <c r="G3683" s="10">
        <v>0</v>
      </c>
      <c r="H3683" s="10"/>
      <c r="I3683" s="10">
        <v>0</v>
      </c>
    </row>
    <row r="3684" spans="1:9" s="2" customFormat="1" ht="21.75" customHeight="1">
      <c r="A3684" s="8" t="s">
        <v>23</v>
      </c>
      <c r="B3684" s="8" t="s">
        <v>26</v>
      </c>
      <c r="C3684" s="9" t="str">
        <f t="shared" si="89"/>
        <v>230128</v>
      </c>
      <c r="D3684" s="9" t="str">
        <f>"230906627"</f>
        <v>230906627</v>
      </c>
      <c r="E3684" s="10">
        <v>0</v>
      </c>
      <c r="F3684" s="10"/>
      <c r="G3684" s="10">
        <v>0</v>
      </c>
      <c r="H3684" s="10"/>
      <c r="I3684" s="10">
        <v>0</v>
      </c>
    </row>
    <row r="3685" spans="1:9" s="3" customFormat="1" ht="21.75" customHeight="1">
      <c r="A3685" s="8" t="s">
        <v>23</v>
      </c>
      <c r="B3685" s="8" t="s">
        <v>26</v>
      </c>
      <c r="C3685" s="9" t="str">
        <f t="shared" si="89"/>
        <v>230128</v>
      </c>
      <c r="D3685" s="9" t="str">
        <f>"230906628"</f>
        <v>230906628</v>
      </c>
      <c r="E3685" s="10">
        <v>0</v>
      </c>
      <c r="F3685" s="10"/>
      <c r="G3685" s="10">
        <v>0</v>
      </c>
      <c r="H3685" s="10"/>
      <c r="I3685" s="10">
        <v>0</v>
      </c>
    </row>
    <row r="3686" spans="1:9" s="2" customFormat="1" ht="21.75" customHeight="1">
      <c r="A3686" s="8" t="s">
        <v>23</v>
      </c>
      <c r="B3686" s="8" t="s">
        <v>26</v>
      </c>
      <c r="C3686" s="9" t="str">
        <f t="shared" si="89"/>
        <v>230128</v>
      </c>
      <c r="D3686" s="9" t="str">
        <f>"230906630"</f>
        <v>230906630</v>
      </c>
      <c r="E3686" s="10">
        <v>0</v>
      </c>
      <c r="F3686" s="10"/>
      <c r="G3686" s="10">
        <v>0</v>
      </c>
      <c r="H3686" s="10"/>
      <c r="I3686" s="10">
        <v>0</v>
      </c>
    </row>
    <row r="3687" spans="1:9" s="3" customFormat="1" ht="21.75" customHeight="1">
      <c r="A3687" s="8" t="s">
        <v>23</v>
      </c>
      <c r="B3687" s="8" t="s">
        <v>26</v>
      </c>
      <c r="C3687" s="9" t="str">
        <f t="shared" si="89"/>
        <v>230128</v>
      </c>
      <c r="D3687" s="9" t="str">
        <f>"230906702"</f>
        <v>230906702</v>
      </c>
      <c r="E3687" s="10">
        <v>0</v>
      </c>
      <c r="F3687" s="10"/>
      <c r="G3687" s="10">
        <v>0</v>
      </c>
      <c r="H3687" s="10"/>
      <c r="I3687" s="10">
        <v>0</v>
      </c>
    </row>
    <row r="3688" spans="1:9" s="2" customFormat="1" ht="21.75" customHeight="1">
      <c r="A3688" s="8" t="s">
        <v>23</v>
      </c>
      <c r="B3688" s="8" t="s">
        <v>26</v>
      </c>
      <c r="C3688" s="9" t="str">
        <f t="shared" ref="C3688:C3718" si="90">"230128"</f>
        <v>230128</v>
      </c>
      <c r="D3688" s="9" t="str">
        <f>"230906704"</f>
        <v>230906704</v>
      </c>
      <c r="E3688" s="10">
        <v>0</v>
      </c>
      <c r="F3688" s="10"/>
      <c r="G3688" s="10">
        <v>0</v>
      </c>
      <c r="H3688" s="10"/>
      <c r="I3688" s="10">
        <v>0</v>
      </c>
    </row>
    <row r="3689" spans="1:9" s="3" customFormat="1" ht="21.75" customHeight="1">
      <c r="A3689" s="8" t="s">
        <v>23</v>
      </c>
      <c r="B3689" s="8" t="s">
        <v>26</v>
      </c>
      <c r="C3689" s="9" t="str">
        <f t="shared" si="90"/>
        <v>230128</v>
      </c>
      <c r="D3689" s="9" t="str">
        <f>"230906707"</f>
        <v>230906707</v>
      </c>
      <c r="E3689" s="10">
        <v>0</v>
      </c>
      <c r="F3689" s="10"/>
      <c r="G3689" s="10">
        <v>0</v>
      </c>
      <c r="H3689" s="10"/>
      <c r="I3689" s="10">
        <v>0</v>
      </c>
    </row>
    <row r="3690" spans="1:9" s="2" customFormat="1" ht="21.75" customHeight="1">
      <c r="A3690" s="8" t="s">
        <v>23</v>
      </c>
      <c r="B3690" s="8" t="s">
        <v>26</v>
      </c>
      <c r="C3690" s="9" t="str">
        <f t="shared" si="90"/>
        <v>230128</v>
      </c>
      <c r="D3690" s="9" t="str">
        <f>"230906710"</f>
        <v>230906710</v>
      </c>
      <c r="E3690" s="10">
        <v>0</v>
      </c>
      <c r="F3690" s="10"/>
      <c r="G3690" s="10">
        <v>0</v>
      </c>
      <c r="H3690" s="10"/>
      <c r="I3690" s="10">
        <v>0</v>
      </c>
    </row>
    <row r="3691" spans="1:9" s="3" customFormat="1" ht="21.75" customHeight="1">
      <c r="A3691" s="8" t="s">
        <v>23</v>
      </c>
      <c r="B3691" s="8" t="s">
        <v>26</v>
      </c>
      <c r="C3691" s="9" t="str">
        <f t="shared" si="90"/>
        <v>230128</v>
      </c>
      <c r="D3691" s="9" t="str">
        <f>"230906717"</f>
        <v>230906717</v>
      </c>
      <c r="E3691" s="10">
        <v>0</v>
      </c>
      <c r="F3691" s="10"/>
      <c r="G3691" s="10">
        <v>0</v>
      </c>
      <c r="H3691" s="10"/>
      <c r="I3691" s="10">
        <v>0</v>
      </c>
    </row>
    <row r="3692" spans="1:9" s="2" customFormat="1" ht="21.75" customHeight="1">
      <c r="A3692" s="8" t="s">
        <v>23</v>
      </c>
      <c r="B3692" s="8" t="s">
        <v>26</v>
      </c>
      <c r="C3692" s="9" t="str">
        <f t="shared" si="90"/>
        <v>230128</v>
      </c>
      <c r="D3692" s="9" t="str">
        <f>"230906728"</f>
        <v>230906728</v>
      </c>
      <c r="E3692" s="10">
        <v>0</v>
      </c>
      <c r="F3692" s="10"/>
      <c r="G3692" s="10">
        <v>0</v>
      </c>
      <c r="H3692" s="10"/>
      <c r="I3692" s="10">
        <v>0</v>
      </c>
    </row>
    <row r="3693" spans="1:9" s="3" customFormat="1" ht="21.75" customHeight="1">
      <c r="A3693" s="8" t="s">
        <v>23</v>
      </c>
      <c r="B3693" s="8" t="s">
        <v>26</v>
      </c>
      <c r="C3693" s="9" t="str">
        <f t="shared" si="90"/>
        <v>230128</v>
      </c>
      <c r="D3693" s="9" t="str">
        <f>"230906801"</f>
        <v>230906801</v>
      </c>
      <c r="E3693" s="10">
        <v>0</v>
      </c>
      <c r="F3693" s="10"/>
      <c r="G3693" s="10">
        <v>0</v>
      </c>
      <c r="H3693" s="10"/>
      <c r="I3693" s="10">
        <v>0</v>
      </c>
    </row>
    <row r="3694" spans="1:9" s="2" customFormat="1" ht="21.75" customHeight="1">
      <c r="A3694" s="8" t="s">
        <v>23</v>
      </c>
      <c r="B3694" s="8" t="s">
        <v>26</v>
      </c>
      <c r="C3694" s="9" t="str">
        <f t="shared" si="90"/>
        <v>230128</v>
      </c>
      <c r="D3694" s="9" t="str">
        <f>"230906802"</f>
        <v>230906802</v>
      </c>
      <c r="E3694" s="10">
        <v>0</v>
      </c>
      <c r="F3694" s="10"/>
      <c r="G3694" s="10">
        <v>0</v>
      </c>
      <c r="H3694" s="10"/>
      <c r="I3694" s="10">
        <v>0</v>
      </c>
    </row>
    <row r="3695" spans="1:9" s="2" customFormat="1" ht="21.75" customHeight="1">
      <c r="A3695" s="8" t="s">
        <v>23</v>
      </c>
      <c r="B3695" s="8" t="s">
        <v>26</v>
      </c>
      <c r="C3695" s="9" t="str">
        <f t="shared" si="90"/>
        <v>230128</v>
      </c>
      <c r="D3695" s="9" t="str">
        <f>"230906804"</f>
        <v>230906804</v>
      </c>
      <c r="E3695" s="10">
        <v>0</v>
      </c>
      <c r="F3695" s="10"/>
      <c r="G3695" s="10">
        <v>0</v>
      </c>
      <c r="H3695" s="10"/>
      <c r="I3695" s="10">
        <v>0</v>
      </c>
    </row>
    <row r="3696" spans="1:9" s="2" customFormat="1" ht="21.75" customHeight="1">
      <c r="A3696" s="8" t="s">
        <v>23</v>
      </c>
      <c r="B3696" s="8" t="s">
        <v>26</v>
      </c>
      <c r="C3696" s="9" t="str">
        <f t="shared" si="90"/>
        <v>230128</v>
      </c>
      <c r="D3696" s="9" t="str">
        <f>"230906806"</f>
        <v>230906806</v>
      </c>
      <c r="E3696" s="10">
        <v>0</v>
      </c>
      <c r="F3696" s="10"/>
      <c r="G3696" s="10">
        <v>0</v>
      </c>
      <c r="H3696" s="10"/>
      <c r="I3696" s="10">
        <v>0</v>
      </c>
    </row>
    <row r="3697" spans="1:9" s="3" customFormat="1" ht="21.75" customHeight="1">
      <c r="A3697" s="8" t="s">
        <v>23</v>
      </c>
      <c r="B3697" s="8" t="s">
        <v>26</v>
      </c>
      <c r="C3697" s="9" t="str">
        <f t="shared" si="90"/>
        <v>230128</v>
      </c>
      <c r="D3697" s="9" t="str">
        <f>"230906817"</f>
        <v>230906817</v>
      </c>
      <c r="E3697" s="10">
        <v>0</v>
      </c>
      <c r="F3697" s="10"/>
      <c r="G3697" s="10">
        <v>0</v>
      </c>
      <c r="H3697" s="10"/>
      <c r="I3697" s="10">
        <v>0</v>
      </c>
    </row>
    <row r="3698" spans="1:9" s="2" customFormat="1" ht="21.75" customHeight="1">
      <c r="A3698" s="8" t="s">
        <v>23</v>
      </c>
      <c r="B3698" s="8" t="s">
        <v>26</v>
      </c>
      <c r="C3698" s="9" t="str">
        <f t="shared" si="90"/>
        <v>230128</v>
      </c>
      <c r="D3698" s="9" t="str">
        <f>"230906818"</f>
        <v>230906818</v>
      </c>
      <c r="E3698" s="10">
        <v>0</v>
      </c>
      <c r="F3698" s="10"/>
      <c r="G3698" s="10">
        <v>0</v>
      </c>
      <c r="H3698" s="10"/>
      <c r="I3698" s="10">
        <v>0</v>
      </c>
    </row>
    <row r="3699" spans="1:9" s="3" customFormat="1" ht="21.75" customHeight="1">
      <c r="A3699" s="8" t="s">
        <v>23</v>
      </c>
      <c r="B3699" s="8" t="s">
        <v>26</v>
      </c>
      <c r="C3699" s="9" t="str">
        <f t="shared" si="90"/>
        <v>230128</v>
      </c>
      <c r="D3699" s="9" t="str">
        <f>"230906820"</f>
        <v>230906820</v>
      </c>
      <c r="E3699" s="10">
        <v>0</v>
      </c>
      <c r="F3699" s="10"/>
      <c r="G3699" s="10">
        <v>0</v>
      </c>
      <c r="H3699" s="10"/>
      <c r="I3699" s="10">
        <v>0</v>
      </c>
    </row>
    <row r="3700" spans="1:9" s="2" customFormat="1" ht="21.75" customHeight="1">
      <c r="A3700" s="8" t="s">
        <v>23</v>
      </c>
      <c r="B3700" s="8" t="s">
        <v>26</v>
      </c>
      <c r="C3700" s="9" t="str">
        <f t="shared" si="90"/>
        <v>230128</v>
      </c>
      <c r="D3700" s="9" t="str">
        <f>"230906821"</f>
        <v>230906821</v>
      </c>
      <c r="E3700" s="10">
        <v>0</v>
      </c>
      <c r="F3700" s="10"/>
      <c r="G3700" s="10">
        <v>0</v>
      </c>
      <c r="H3700" s="10"/>
      <c r="I3700" s="10">
        <v>0</v>
      </c>
    </row>
    <row r="3701" spans="1:9" s="3" customFormat="1" ht="21.75" customHeight="1">
      <c r="A3701" s="8" t="s">
        <v>23</v>
      </c>
      <c r="B3701" s="8" t="s">
        <v>26</v>
      </c>
      <c r="C3701" s="9" t="str">
        <f t="shared" si="90"/>
        <v>230128</v>
      </c>
      <c r="D3701" s="9" t="str">
        <f>"230906822"</f>
        <v>230906822</v>
      </c>
      <c r="E3701" s="10">
        <v>0</v>
      </c>
      <c r="F3701" s="10"/>
      <c r="G3701" s="10">
        <v>0</v>
      </c>
      <c r="H3701" s="10"/>
      <c r="I3701" s="10">
        <v>0</v>
      </c>
    </row>
    <row r="3702" spans="1:9" s="2" customFormat="1" ht="21.75" customHeight="1">
      <c r="A3702" s="8" t="s">
        <v>23</v>
      </c>
      <c r="B3702" s="8" t="s">
        <v>26</v>
      </c>
      <c r="C3702" s="9" t="str">
        <f t="shared" si="90"/>
        <v>230128</v>
      </c>
      <c r="D3702" s="9" t="str">
        <f>"230906827"</f>
        <v>230906827</v>
      </c>
      <c r="E3702" s="10">
        <v>0</v>
      </c>
      <c r="F3702" s="10"/>
      <c r="G3702" s="10">
        <v>0</v>
      </c>
      <c r="H3702" s="10"/>
      <c r="I3702" s="10">
        <v>0</v>
      </c>
    </row>
    <row r="3703" spans="1:9" s="2" customFormat="1" ht="21.75" customHeight="1">
      <c r="A3703" s="8" t="s">
        <v>23</v>
      </c>
      <c r="B3703" s="8" t="s">
        <v>26</v>
      </c>
      <c r="C3703" s="9" t="str">
        <f t="shared" si="90"/>
        <v>230128</v>
      </c>
      <c r="D3703" s="9" t="str">
        <f>"230906830"</f>
        <v>230906830</v>
      </c>
      <c r="E3703" s="10">
        <v>0</v>
      </c>
      <c r="F3703" s="10"/>
      <c r="G3703" s="10">
        <v>0</v>
      </c>
      <c r="H3703" s="10"/>
      <c r="I3703" s="10">
        <v>0</v>
      </c>
    </row>
    <row r="3704" spans="1:9" s="2" customFormat="1" ht="21.75" customHeight="1">
      <c r="A3704" s="8" t="s">
        <v>23</v>
      </c>
      <c r="B3704" s="8" t="s">
        <v>26</v>
      </c>
      <c r="C3704" s="9" t="str">
        <f t="shared" si="90"/>
        <v>230128</v>
      </c>
      <c r="D3704" s="9" t="str">
        <f>"230906901"</f>
        <v>230906901</v>
      </c>
      <c r="E3704" s="10">
        <v>0</v>
      </c>
      <c r="F3704" s="10"/>
      <c r="G3704" s="10">
        <v>0</v>
      </c>
      <c r="H3704" s="10"/>
      <c r="I3704" s="10">
        <v>0</v>
      </c>
    </row>
    <row r="3705" spans="1:9" s="2" customFormat="1" ht="21.75" customHeight="1">
      <c r="A3705" s="8" t="s">
        <v>23</v>
      </c>
      <c r="B3705" s="8" t="s">
        <v>26</v>
      </c>
      <c r="C3705" s="9" t="str">
        <f t="shared" si="90"/>
        <v>230128</v>
      </c>
      <c r="D3705" s="9" t="str">
        <f>"230906904"</f>
        <v>230906904</v>
      </c>
      <c r="E3705" s="10">
        <v>0</v>
      </c>
      <c r="F3705" s="10"/>
      <c r="G3705" s="10">
        <v>0</v>
      </c>
      <c r="H3705" s="10"/>
      <c r="I3705" s="10">
        <v>0</v>
      </c>
    </row>
    <row r="3706" spans="1:9" s="2" customFormat="1" ht="21.75" customHeight="1">
      <c r="A3706" s="8" t="s">
        <v>23</v>
      </c>
      <c r="B3706" s="8" t="s">
        <v>26</v>
      </c>
      <c r="C3706" s="9" t="str">
        <f t="shared" si="90"/>
        <v>230128</v>
      </c>
      <c r="D3706" s="9" t="str">
        <f>"230906906"</f>
        <v>230906906</v>
      </c>
      <c r="E3706" s="10">
        <v>0</v>
      </c>
      <c r="F3706" s="10"/>
      <c r="G3706" s="10">
        <v>0</v>
      </c>
      <c r="H3706" s="10"/>
      <c r="I3706" s="10">
        <v>0</v>
      </c>
    </row>
    <row r="3707" spans="1:9" s="2" customFormat="1" ht="21.75" customHeight="1">
      <c r="A3707" s="8" t="s">
        <v>23</v>
      </c>
      <c r="B3707" s="8" t="s">
        <v>26</v>
      </c>
      <c r="C3707" s="9" t="str">
        <f t="shared" si="90"/>
        <v>230128</v>
      </c>
      <c r="D3707" s="9" t="str">
        <f>"230906911"</f>
        <v>230906911</v>
      </c>
      <c r="E3707" s="10">
        <v>0</v>
      </c>
      <c r="F3707" s="10"/>
      <c r="G3707" s="10">
        <v>0</v>
      </c>
      <c r="H3707" s="10"/>
      <c r="I3707" s="10">
        <v>0</v>
      </c>
    </row>
    <row r="3708" spans="1:9" s="2" customFormat="1" ht="21.75" customHeight="1">
      <c r="A3708" s="8" t="s">
        <v>23</v>
      </c>
      <c r="B3708" s="8" t="s">
        <v>26</v>
      </c>
      <c r="C3708" s="9" t="str">
        <f t="shared" si="90"/>
        <v>230128</v>
      </c>
      <c r="D3708" s="9" t="str">
        <f>"230906918"</f>
        <v>230906918</v>
      </c>
      <c r="E3708" s="10">
        <v>0</v>
      </c>
      <c r="F3708" s="10"/>
      <c r="G3708" s="10">
        <v>0</v>
      </c>
      <c r="H3708" s="10"/>
      <c r="I3708" s="10">
        <v>0</v>
      </c>
    </row>
    <row r="3709" spans="1:9" s="2" customFormat="1" ht="21.75" customHeight="1">
      <c r="A3709" s="8" t="s">
        <v>23</v>
      </c>
      <c r="B3709" s="8" t="s">
        <v>26</v>
      </c>
      <c r="C3709" s="9" t="str">
        <f t="shared" si="90"/>
        <v>230128</v>
      </c>
      <c r="D3709" s="9" t="str">
        <f>"230907002"</f>
        <v>230907002</v>
      </c>
      <c r="E3709" s="10">
        <v>0</v>
      </c>
      <c r="F3709" s="10"/>
      <c r="G3709" s="10">
        <v>0</v>
      </c>
      <c r="H3709" s="10"/>
      <c r="I3709" s="10">
        <v>0</v>
      </c>
    </row>
    <row r="3710" spans="1:9" s="3" customFormat="1" ht="21.75" customHeight="1">
      <c r="A3710" s="8" t="s">
        <v>23</v>
      </c>
      <c r="B3710" s="8" t="s">
        <v>26</v>
      </c>
      <c r="C3710" s="9" t="str">
        <f t="shared" si="90"/>
        <v>230128</v>
      </c>
      <c r="D3710" s="9" t="str">
        <f>"230907005"</f>
        <v>230907005</v>
      </c>
      <c r="E3710" s="10">
        <v>0</v>
      </c>
      <c r="F3710" s="10"/>
      <c r="G3710" s="10">
        <v>0</v>
      </c>
      <c r="H3710" s="10"/>
      <c r="I3710" s="10">
        <v>0</v>
      </c>
    </row>
    <row r="3711" spans="1:9" s="2" customFormat="1" ht="21.75" customHeight="1">
      <c r="A3711" s="8" t="s">
        <v>23</v>
      </c>
      <c r="B3711" s="8" t="s">
        <v>26</v>
      </c>
      <c r="C3711" s="9" t="str">
        <f t="shared" si="90"/>
        <v>230128</v>
      </c>
      <c r="D3711" s="9" t="str">
        <f>"230907007"</f>
        <v>230907007</v>
      </c>
      <c r="E3711" s="10">
        <v>0</v>
      </c>
      <c r="F3711" s="10"/>
      <c r="G3711" s="10">
        <v>0</v>
      </c>
      <c r="H3711" s="10"/>
      <c r="I3711" s="10">
        <v>0</v>
      </c>
    </row>
    <row r="3712" spans="1:9" s="2" customFormat="1" ht="21.75" customHeight="1">
      <c r="A3712" s="8" t="s">
        <v>23</v>
      </c>
      <c r="B3712" s="8" t="s">
        <v>26</v>
      </c>
      <c r="C3712" s="9" t="str">
        <f t="shared" si="90"/>
        <v>230128</v>
      </c>
      <c r="D3712" s="9" t="str">
        <f>"230907010"</f>
        <v>230907010</v>
      </c>
      <c r="E3712" s="10">
        <v>0</v>
      </c>
      <c r="F3712" s="10"/>
      <c r="G3712" s="10">
        <v>0</v>
      </c>
      <c r="H3712" s="10"/>
      <c r="I3712" s="10">
        <v>0</v>
      </c>
    </row>
    <row r="3713" spans="1:9" s="3" customFormat="1" ht="21.75" customHeight="1">
      <c r="A3713" s="8" t="s">
        <v>23</v>
      </c>
      <c r="B3713" s="8" t="s">
        <v>26</v>
      </c>
      <c r="C3713" s="9" t="str">
        <f t="shared" si="90"/>
        <v>230128</v>
      </c>
      <c r="D3713" s="9" t="str">
        <f>"230907014"</f>
        <v>230907014</v>
      </c>
      <c r="E3713" s="10">
        <v>0</v>
      </c>
      <c r="F3713" s="10"/>
      <c r="G3713" s="10">
        <v>0</v>
      </c>
      <c r="H3713" s="10"/>
      <c r="I3713" s="10">
        <v>0</v>
      </c>
    </row>
    <row r="3714" spans="1:9" s="3" customFormat="1" ht="21.75" customHeight="1">
      <c r="A3714" s="8" t="s">
        <v>23</v>
      </c>
      <c r="B3714" s="8" t="s">
        <v>26</v>
      </c>
      <c r="C3714" s="9" t="str">
        <f t="shared" si="90"/>
        <v>230128</v>
      </c>
      <c r="D3714" s="9" t="str">
        <f>"230907017"</f>
        <v>230907017</v>
      </c>
      <c r="E3714" s="10">
        <v>0</v>
      </c>
      <c r="F3714" s="10"/>
      <c r="G3714" s="10">
        <v>0</v>
      </c>
      <c r="H3714" s="10"/>
      <c r="I3714" s="10">
        <v>0</v>
      </c>
    </row>
    <row r="3715" spans="1:9" s="2" customFormat="1" ht="21.75" customHeight="1">
      <c r="A3715" s="8" t="s">
        <v>23</v>
      </c>
      <c r="B3715" s="8" t="s">
        <v>26</v>
      </c>
      <c r="C3715" s="9" t="str">
        <f t="shared" si="90"/>
        <v>230128</v>
      </c>
      <c r="D3715" s="9" t="str">
        <f>"230907018"</f>
        <v>230907018</v>
      </c>
      <c r="E3715" s="10">
        <v>0</v>
      </c>
      <c r="F3715" s="10"/>
      <c r="G3715" s="10">
        <v>0</v>
      </c>
      <c r="H3715" s="10"/>
      <c r="I3715" s="10">
        <v>0</v>
      </c>
    </row>
    <row r="3716" spans="1:9" s="3" customFormat="1" ht="21.75" customHeight="1">
      <c r="A3716" s="8" t="s">
        <v>23</v>
      </c>
      <c r="B3716" s="8" t="s">
        <v>26</v>
      </c>
      <c r="C3716" s="9" t="str">
        <f t="shared" si="90"/>
        <v>230128</v>
      </c>
      <c r="D3716" s="9" t="str">
        <f>"230907021"</f>
        <v>230907021</v>
      </c>
      <c r="E3716" s="10">
        <v>0</v>
      </c>
      <c r="F3716" s="10"/>
      <c r="G3716" s="10">
        <v>0</v>
      </c>
      <c r="H3716" s="10"/>
      <c r="I3716" s="10">
        <v>0</v>
      </c>
    </row>
    <row r="3717" spans="1:9" s="2" customFormat="1" ht="21.75" customHeight="1">
      <c r="A3717" s="8" t="s">
        <v>23</v>
      </c>
      <c r="B3717" s="8" t="s">
        <v>26</v>
      </c>
      <c r="C3717" s="9" t="str">
        <f t="shared" si="90"/>
        <v>230128</v>
      </c>
      <c r="D3717" s="9" t="str">
        <f>"230907023"</f>
        <v>230907023</v>
      </c>
      <c r="E3717" s="10">
        <v>0</v>
      </c>
      <c r="F3717" s="10"/>
      <c r="G3717" s="10">
        <v>0</v>
      </c>
      <c r="H3717" s="10"/>
      <c r="I3717" s="10">
        <v>0</v>
      </c>
    </row>
    <row r="3718" spans="1:9" s="2" customFormat="1" ht="21.75" customHeight="1">
      <c r="A3718" s="8" t="s">
        <v>23</v>
      </c>
      <c r="B3718" s="8" t="s">
        <v>26</v>
      </c>
      <c r="C3718" s="9" t="str">
        <f t="shared" si="90"/>
        <v>230128</v>
      </c>
      <c r="D3718" s="9" t="str">
        <f>"230907024"</f>
        <v>230907024</v>
      </c>
      <c r="E3718" s="10">
        <v>0</v>
      </c>
      <c r="F3718" s="10"/>
      <c r="G3718" s="10">
        <v>0</v>
      </c>
      <c r="H3718" s="10"/>
      <c r="I3718" s="10">
        <v>0</v>
      </c>
    </row>
    <row r="3719" spans="1:9" ht="21.75" customHeight="1">
      <c r="A3719" s="8" t="s">
        <v>23</v>
      </c>
      <c r="B3719" s="8" t="s">
        <v>42</v>
      </c>
      <c r="C3719" s="9" t="str">
        <f t="shared" ref="C3719:C3750" si="91">"230129"</f>
        <v>230129</v>
      </c>
      <c r="D3719" s="9" t="str">
        <f>"230916411"</f>
        <v>230916411</v>
      </c>
      <c r="E3719" s="10">
        <v>75.16</v>
      </c>
      <c r="F3719" s="10"/>
      <c r="G3719" s="10">
        <v>61.81</v>
      </c>
      <c r="H3719" s="10"/>
      <c r="I3719" s="10">
        <v>67.150000000000006</v>
      </c>
    </row>
    <row r="3720" spans="1:9" ht="21.75" customHeight="1">
      <c r="A3720" s="8" t="s">
        <v>23</v>
      </c>
      <c r="B3720" s="8" t="s">
        <v>42</v>
      </c>
      <c r="C3720" s="9" t="str">
        <f t="shared" si="91"/>
        <v>230129</v>
      </c>
      <c r="D3720" s="9" t="str">
        <f>"230916430"</f>
        <v>230916430</v>
      </c>
      <c r="E3720" s="10">
        <v>66.98</v>
      </c>
      <c r="F3720" s="10"/>
      <c r="G3720" s="10">
        <v>65.510000000000005</v>
      </c>
      <c r="H3720" s="10"/>
      <c r="I3720" s="10">
        <v>66.099999999999994</v>
      </c>
    </row>
    <row r="3721" spans="1:9" ht="21.75" customHeight="1">
      <c r="A3721" s="8" t="s">
        <v>23</v>
      </c>
      <c r="B3721" s="8" t="s">
        <v>42</v>
      </c>
      <c r="C3721" s="9" t="str">
        <f t="shared" si="91"/>
        <v>230129</v>
      </c>
      <c r="D3721" s="9" t="str">
        <f>"230916504"</f>
        <v>230916504</v>
      </c>
      <c r="E3721" s="10">
        <v>64.8</v>
      </c>
      <c r="F3721" s="10"/>
      <c r="G3721" s="10">
        <v>66.52</v>
      </c>
      <c r="H3721" s="10"/>
      <c r="I3721" s="10">
        <v>65.83</v>
      </c>
    </row>
    <row r="3722" spans="1:9" ht="21.75" customHeight="1">
      <c r="A3722" s="8" t="s">
        <v>23</v>
      </c>
      <c r="B3722" s="8" t="s">
        <v>42</v>
      </c>
      <c r="C3722" s="9" t="str">
        <f t="shared" si="91"/>
        <v>230129</v>
      </c>
      <c r="D3722" s="9" t="str">
        <f>"230916524"</f>
        <v>230916524</v>
      </c>
      <c r="E3722" s="10">
        <v>72.510000000000005</v>
      </c>
      <c r="F3722" s="10"/>
      <c r="G3722" s="10">
        <v>58.53</v>
      </c>
      <c r="H3722" s="10"/>
      <c r="I3722" s="10">
        <v>64.12</v>
      </c>
    </row>
    <row r="3723" spans="1:9" ht="21.75" customHeight="1">
      <c r="A3723" s="8" t="s">
        <v>23</v>
      </c>
      <c r="B3723" s="8" t="s">
        <v>42</v>
      </c>
      <c r="C3723" s="9" t="str">
        <f t="shared" si="91"/>
        <v>230129</v>
      </c>
      <c r="D3723" s="9" t="str">
        <f>"230916415"</f>
        <v>230916415</v>
      </c>
      <c r="E3723" s="10">
        <v>65.94</v>
      </c>
      <c r="F3723" s="10"/>
      <c r="G3723" s="10">
        <v>61.89</v>
      </c>
      <c r="H3723" s="10"/>
      <c r="I3723" s="10">
        <v>63.51</v>
      </c>
    </row>
    <row r="3724" spans="1:9" ht="21.75" customHeight="1">
      <c r="A3724" s="8" t="s">
        <v>23</v>
      </c>
      <c r="B3724" s="8" t="s">
        <v>42</v>
      </c>
      <c r="C3724" s="9" t="str">
        <f t="shared" si="91"/>
        <v>230129</v>
      </c>
      <c r="D3724" s="9" t="str">
        <f>"230916419"</f>
        <v>230916419</v>
      </c>
      <c r="E3724" s="10">
        <v>71.23</v>
      </c>
      <c r="F3724" s="10"/>
      <c r="G3724" s="10">
        <v>58.34</v>
      </c>
      <c r="H3724" s="10"/>
      <c r="I3724" s="10">
        <v>63.5</v>
      </c>
    </row>
    <row r="3725" spans="1:9" s="1" customFormat="1" ht="21.75" customHeight="1">
      <c r="A3725" s="8" t="s">
        <v>23</v>
      </c>
      <c r="B3725" s="8" t="s">
        <v>42</v>
      </c>
      <c r="C3725" s="9" t="str">
        <f t="shared" si="91"/>
        <v>230129</v>
      </c>
      <c r="D3725" s="9" t="str">
        <f>"230916501"</f>
        <v>230916501</v>
      </c>
      <c r="E3725" s="10">
        <v>71.22</v>
      </c>
      <c r="F3725" s="10"/>
      <c r="G3725" s="10">
        <v>58.02</v>
      </c>
      <c r="H3725" s="10"/>
      <c r="I3725" s="10">
        <v>63.3</v>
      </c>
    </row>
    <row r="3726" spans="1:9" s="1" customFormat="1" ht="21.75" customHeight="1">
      <c r="A3726" s="8" t="s">
        <v>23</v>
      </c>
      <c r="B3726" s="8" t="s">
        <v>42</v>
      </c>
      <c r="C3726" s="9" t="str">
        <f t="shared" si="91"/>
        <v>230129</v>
      </c>
      <c r="D3726" s="9" t="str">
        <f>"230916425"</f>
        <v>230916425</v>
      </c>
      <c r="E3726" s="10">
        <v>63.31</v>
      </c>
      <c r="F3726" s="10"/>
      <c r="G3726" s="10">
        <v>62.72</v>
      </c>
      <c r="H3726" s="10"/>
      <c r="I3726" s="10">
        <v>62.96</v>
      </c>
    </row>
    <row r="3727" spans="1:9" ht="21.75" customHeight="1">
      <c r="A3727" s="8" t="s">
        <v>23</v>
      </c>
      <c r="B3727" s="8" t="s">
        <v>42</v>
      </c>
      <c r="C3727" s="9" t="str">
        <f t="shared" si="91"/>
        <v>230129</v>
      </c>
      <c r="D3727" s="9" t="str">
        <f>"230916405"</f>
        <v>230916405</v>
      </c>
      <c r="E3727" s="10">
        <v>69.400000000000006</v>
      </c>
      <c r="F3727" s="10"/>
      <c r="G3727" s="10">
        <v>56.45</v>
      </c>
      <c r="H3727" s="10"/>
      <c r="I3727" s="10">
        <v>61.63</v>
      </c>
    </row>
    <row r="3728" spans="1:9" s="1" customFormat="1" ht="21.75" customHeight="1">
      <c r="A3728" s="8" t="s">
        <v>23</v>
      </c>
      <c r="B3728" s="8" t="s">
        <v>42</v>
      </c>
      <c r="C3728" s="9" t="str">
        <f t="shared" si="91"/>
        <v>230129</v>
      </c>
      <c r="D3728" s="9" t="str">
        <f>"230916511"</f>
        <v>230916511</v>
      </c>
      <c r="E3728" s="10">
        <v>67.900000000000006</v>
      </c>
      <c r="F3728" s="10"/>
      <c r="G3728" s="10">
        <v>57.24</v>
      </c>
      <c r="H3728" s="10"/>
      <c r="I3728" s="10">
        <v>61.5</v>
      </c>
    </row>
    <row r="3729" spans="1:9" ht="21.75" customHeight="1">
      <c r="A3729" s="8" t="s">
        <v>23</v>
      </c>
      <c r="B3729" s="8" t="s">
        <v>42</v>
      </c>
      <c r="C3729" s="9" t="str">
        <f t="shared" si="91"/>
        <v>230129</v>
      </c>
      <c r="D3729" s="9" t="str">
        <f>"230916502"</f>
        <v>230916502</v>
      </c>
      <c r="E3729" s="10">
        <v>74.56</v>
      </c>
      <c r="F3729" s="10"/>
      <c r="G3729" s="10">
        <v>52.73</v>
      </c>
      <c r="H3729" s="10"/>
      <c r="I3729" s="10">
        <v>61.46</v>
      </c>
    </row>
    <row r="3730" spans="1:9" s="1" customFormat="1" ht="21.75" customHeight="1">
      <c r="A3730" s="8" t="s">
        <v>23</v>
      </c>
      <c r="B3730" s="8" t="s">
        <v>42</v>
      </c>
      <c r="C3730" s="9" t="str">
        <f t="shared" si="91"/>
        <v>230129</v>
      </c>
      <c r="D3730" s="9" t="str">
        <f>"230916509"</f>
        <v>230916509</v>
      </c>
      <c r="E3730" s="10">
        <v>73.540000000000006</v>
      </c>
      <c r="F3730" s="10"/>
      <c r="G3730" s="10">
        <v>53.22</v>
      </c>
      <c r="H3730" s="10"/>
      <c r="I3730" s="10">
        <v>61.35</v>
      </c>
    </row>
    <row r="3731" spans="1:9" ht="21.75" customHeight="1">
      <c r="A3731" s="8" t="s">
        <v>23</v>
      </c>
      <c r="B3731" s="8" t="s">
        <v>42</v>
      </c>
      <c r="C3731" s="9" t="str">
        <f t="shared" si="91"/>
        <v>230129</v>
      </c>
      <c r="D3731" s="9" t="str">
        <f>"230916427"</f>
        <v>230916427</v>
      </c>
      <c r="E3731" s="10">
        <v>71.13</v>
      </c>
      <c r="F3731" s="10"/>
      <c r="G3731" s="10">
        <v>54.46</v>
      </c>
      <c r="H3731" s="10"/>
      <c r="I3731" s="10">
        <v>61.13</v>
      </c>
    </row>
    <row r="3732" spans="1:9" s="1" customFormat="1" ht="21.75" customHeight="1">
      <c r="A3732" s="8" t="s">
        <v>23</v>
      </c>
      <c r="B3732" s="8" t="s">
        <v>42</v>
      </c>
      <c r="C3732" s="9" t="str">
        <f t="shared" si="91"/>
        <v>230129</v>
      </c>
      <c r="D3732" s="9" t="str">
        <f>"230916414"</f>
        <v>230916414</v>
      </c>
      <c r="E3732" s="10">
        <v>63.54</v>
      </c>
      <c r="F3732" s="10"/>
      <c r="G3732" s="10">
        <v>58.67</v>
      </c>
      <c r="H3732" s="10"/>
      <c r="I3732" s="10">
        <v>60.62</v>
      </c>
    </row>
    <row r="3733" spans="1:9" s="1" customFormat="1" ht="21.75" customHeight="1">
      <c r="A3733" s="8" t="s">
        <v>23</v>
      </c>
      <c r="B3733" s="8" t="s">
        <v>42</v>
      </c>
      <c r="C3733" s="9" t="str">
        <f t="shared" si="91"/>
        <v>230129</v>
      </c>
      <c r="D3733" s="9" t="str">
        <f>"230916413"</f>
        <v>230916413</v>
      </c>
      <c r="E3733" s="10">
        <v>62.61</v>
      </c>
      <c r="F3733" s="10"/>
      <c r="G3733" s="10">
        <v>57.28</v>
      </c>
      <c r="H3733" s="10"/>
      <c r="I3733" s="10">
        <v>59.41</v>
      </c>
    </row>
    <row r="3734" spans="1:9" ht="21.75" customHeight="1">
      <c r="A3734" s="8" t="s">
        <v>23</v>
      </c>
      <c r="B3734" s="8" t="s">
        <v>42</v>
      </c>
      <c r="C3734" s="9" t="str">
        <f t="shared" si="91"/>
        <v>230129</v>
      </c>
      <c r="D3734" s="9" t="str">
        <f>"230916515"</f>
        <v>230916515</v>
      </c>
      <c r="E3734" s="10">
        <v>64.92</v>
      </c>
      <c r="F3734" s="10"/>
      <c r="G3734" s="10">
        <v>55.37</v>
      </c>
      <c r="H3734" s="10"/>
      <c r="I3734" s="10">
        <v>59.19</v>
      </c>
    </row>
    <row r="3735" spans="1:9" s="1" customFormat="1" ht="21.75" customHeight="1">
      <c r="A3735" s="8" t="s">
        <v>23</v>
      </c>
      <c r="B3735" s="8" t="s">
        <v>42</v>
      </c>
      <c r="C3735" s="9" t="str">
        <f t="shared" si="91"/>
        <v>230129</v>
      </c>
      <c r="D3735" s="9" t="str">
        <f>"230916409"</f>
        <v>230916409</v>
      </c>
      <c r="E3735" s="10">
        <v>69.86</v>
      </c>
      <c r="F3735" s="10"/>
      <c r="G3735" s="10">
        <v>51.14</v>
      </c>
      <c r="H3735" s="10"/>
      <c r="I3735" s="10">
        <v>58.63</v>
      </c>
    </row>
    <row r="3736" spans="1:9" ht="21.75" customHeight="1">
      <c r="A3736" s="8" t="s">
        <v>23</v>
      </c>
      <c r="B3736" s="8" t="s">
        <v>42</v>
      </c>
      <c r="C3736" s="9" t="str">
        <f t="shared" si="91"/>
        <v>230129</v>
      </c>
      <c r="D3736" s="9" t="str">
        <f>"230916420"</f>
        <v>230916420</v>
      </c>
      <c r="E3736" s="10">
        <v>72.97</v>
      </c>
      <c r="F3736" s="10"/>
      <c r="G3736" s="10">
        <v>47.75</v>
      </c>
      <c r="H3736" s="10"/>
      <c r="I3736" s="10">
        <v>57.84</v>
      </c>
    </row>
    <row r="3737" spans="1:9" ht="21.75" customHeight="1">
      <c r="A3737" s="8" t="s">
        <v>23</v>
      </c>
      <c r="B3737" s="8" t="s">
        <v>42</v>
      </c>
      <c r="C3737" s="9" t="str">
        <f t="shared" si="91"/>
        <v>230129</v>
      </c>
      <c r="D3737" s="9" t="str">
        <f>"230916408"</f>
        <v>230916408</v>
      </c>
      <c r="E3737" s="10">
        <v>59.28</v>
      </c>
      <c r="F3737" s="10"/>
      <c r="G3737" s="10">
        <v>56.73</v>
      </c>
      <c r="H3737" s="10"/>
      <c r="I3737" s="10">
        <v>57.75</v>
      </c>
    </row>
    <row r="3738" spans="1:9" s="1" customFormat="1" ht="21.75" customHeight="1">
      <c r="A3738" s="8" t="s">
        <v>23</v>
      </c>
      <c r="B3738" s="8" t="s">
        <v>42</v>
      </c>
      <c r="C3738" s="9" t="str">
        <f t="shared" si="91"/>
        <v>230129</v>
      </c>
      <c r="D3738" s="9" t="str">
        <f>"230916418"</f>
        <v>230916418</v>
      </c>
      <c r="E3738" s="10">
        <v>67.91</v>
      </c>
      <c r="F3738" s="10"/>
      <c r="G3738" s="10">
        <v>50.9</v>
      </c>
      <c r="H3738" s="10"/>
      <c r="I3738" s="10">
        <v>57.7</v>
      </c>
    </row>
    <row r="3739" spans="1:9" s="1" customFormat="1" ht="21.75" customHeight="1">
      <c r="A3739" s="8" t="s">
        <v>23</v>
      </c>
      <c r="B3739" s="8" t="s">
        <v>42</v>
      </c>
      <c r="C3739" s="9" t="str">
        <f t="shared" si="91"/>
        <v>230129</v>
      </c>
      <c r="D3739" s="9" t="str">
        <f>"230916428"</f>
        <v>230916428</v>
      </c>
      <c r="E3739" s="10">
        <v>67.33</v>
      </c>
      <c r="F3739" s="10"/>
      <c r="G3739" s="10">
        <v>50.57</v>
      </c>
      <c r="H3739" s="10"/>
      <c r="I3739" s="10">
        <v>57.27</v>
      </c>
    </row>
    <row r="3740" spans="1:9" s="1" customFormat="1" ht="21.75" customHeight="1">
      <c r="A3740" s="8" t="s">
        <v>23</v>
      </c>
      <c r="B3740" s="8" t="s">
        <v>42</v>
      </c>
      <c r="C3740" s="9" t="str">
        <f t="shared" si="91"/>
        <v>230129</v>
      </c>
      <c r="D3740" s="9" t="str">
        <f>"230916421"</f>
        <v>230916421</v>
      </c>
      <c r="E3740" s="10">
        <v>62.39</v>
      </c>
      <c r="F3740" s="10"/>
      <c r="G3740" s="10">
        <v>53.59</v>
      </c>
      <c r="H3740" s="10"/>
      <c r="I3740" s="10">
        <v>57.11</v>
      </c>
    </row>
    <row r="3741" spans="1:9" s="1" customFormat="1" ht="21.75" customHeight="1">
      <c r="A3741" s="8" t="s">
        <v>23</v>
      </c>
      <c r="B3741" s="8" t="s">
        <v>42</v>
      </c>
      <c r="C3741" s="9" t="str">
        <f t="shared" si="91"/>
        <v>230129</v>
      </c>
      <c r="D3741" s="9" t="str">
        <f>"230916417"</f>
        <v>230916417</v>
      </c>
      <c r="E3741" s="10">
        <v>53.09</v>
      </c>
      <c r="F3741" s="10"/>
      <c r="G3741" s="10">
        <v>58.87</v>
      </c>
      <c r="H3741" s="10"/>
      <c r="I3741" s="10">
        <v>56.56</v>
      </c>
    </row>
    <row r="3742" spans="1:9" ht="21.75" customHeight="1">
      <c r="A3742" s="8" t="s">
        <v>23</v>
      </c>
      <c r="B3742" s="8" t="s">
        <v>42</v>
      </c>
      <c r="C3742" s="9" t="str">
        <f t="shared" si="91"/>
        <v>230129</v>
      </c>
      <c r="D3742" s="9" t="str">
        <f>"230916510"</f>
        <v>230916510</v>
      </c>
      <c r="E3742" s="10">
        <v>71.23</v>
      </c>
      <c r="F3742" s="10"/>
      <c r="G3742" s="10">
        <v>46.71</v>
      </c>
      <c r="H3742" s="10"/>
      <c r="I3742" s="10">
        <v>56.52</v>
      </c>
    </row>
    <row r="3743" spans="1:9" ht="21.75" customHeight="1">
      <c r="A3743" s="8" t="s">
        <v>23</v>
      </c>
      <c r="B3743" s="8" t="s">
        <v>42</v>
      </c>
      <c r="C3743" s="9" t="str">
        <f t="shared" si="91"/>
        <v>230129</v>
      </c>
      <c r="D3743" s="9" t="str">
        <f>"230916404"</f>
        <v>230916404</v>
      </c>
      <c r="E3743" s="10">
        <v>65.14</v>
      </c>
      <c r="F3743" s="10"/>
      <c r="G3743" s="10">
        <v>50.26</v>
      </c>
      <c r="H3743" s="10"/>
      <c r="I3743" s="10">
        <v>56.21</v>
      </c>
    </row>
    <row r="3744" spans="1:9" s="1" customFormat="1" ht="21.75" customHeight="1">
      <c r="A3744" s="8" t="s">
        <v>23</v>
      </c>
      <c r="B3744" s="8" t="s">
        <v>42</v>
      </c>
      <c r="C3744" s="9" t="str">
        <f t="shared" si="91"/>
        <v>230129</v>
      </c>
      <c r="D3744" s="9" t="str">
        <f>"230916503"</f>
        <v>230916503</v>
      </c>
      <c r="E3744" s="10">
        <v>63.87</v>
      </c>
      <c r="F3744" s="10"/>
      <c r="G3744" s="10">
        <v>50.83</v>
      </c>
      <c r="H3744" s="10"/>
      <c r="I3744" s="10">
        <v>56.05</v>
      </c>
    </row>
    <row r="3745" spans="1:9" ht="21.75" customHeight="1">
      <c r="A3745" s="8" t="s">
        <v>23</v>
      </c>
      <c r="B3745" s="8" t="s">
        <v>42</v>
      </c>
      <c r="C3745" s="9" t="str">
        <f t="shared" si="91"/>
        <v>230129</v>
      </c>
      <c r="D3745" s="9" t="str">
        <f>"230916518"</f>
        <v>230916518</v>
      </c>
      <c r="E3745" s="10">
        <v>62.26</v>
      </c>
      <c r="F3745" s="10"/>
      <c r="G3745" s="10">
        <v>51.89</v>
      </c>
      <c r="H3745" s="10"/>
      <c r="I3745" s="10">
        <v>56.04</v>
      </c>
    </row>
    <row r="3746" spans="1:9" s="1" customFormat="1" ht="21.75" customHeight="1">
      <c r="A3746" s="8" t="s">
        <v>23</v>
      </c>
      <c r="B3746" s="8" t="s">
        <v>42</v>
      </c>
      <c r="C3746" s="9" t="str">
        <f t="shared" si="91"/>
        <v>230129</v>
      </c>
      <c r="D3746" s="9" t="str">
        <f>"230916429"</f>
        <v>230916429</v>
      </c>
      <c r="E3746" s="10">
        <v>62.95</v>
      </c>
      <c r="F3746" s="10"/>
      <c r="G3746" s="10">
        <v>51.03</v>
      </c>
      <c r="H3746" s="10"/>
      <c r="I3746" s="10">
        <v>55.8</v>
      </c>
    </row>
    <row r="3747" spans="1:9" ht="21.75" customHeight="1">
      <c r="A3747" s="8" t="s">
        <v>23</v>
      </c>
      <c r="B3747" s="8" t="s">
        <v>42</v>
      </c>
      <c r="C3747" s="9" t="str">
        <f t="shared" si="91"/>
        <v>230129</v>
      </c>
      <c r="D3747" s="9" t="str">
        <f>"230916406"</f>
        <v>230916406</v>
      </c>
      <c r="E3747" s="10">
        <v>67.09</v>
      </c>
      <c r="F3747" s="10"/>
      <c r="G3747" s="10">
        <v>47.73</v>
      </c>
      <c r="H3747" s="10"/>
      <c r="I3747" s="10">
        <v>55.47</v>
      </c>
    </row>
    <row r="3748" spans="1:9" ht="21.75" customHeight="1">
      <c r="A3748" s="8" t="s">
        <v>23</v>
      </c>
      <c r="B3748" s="8" t="s">
        <v>42</v>
      </c>
      <c r="C3748" s="9" t="str">
        <f t="shared" si="91"/>
        <v>230129</v>
      </c>
      <c r="D3748" s="9" t="str">
        <f>"230916522"</f>
        <v>230916522</v>
      </c>
      <c r="E3748" s="10">
        <v>59.62</v>
      </c>
      <c r="F3748" s="10"/>
      <c r="G3748" s="10">
        <v>51.63</v>
      </c>
      <c r="H3748" s="10"/>
      <c r="I3748" s="10">
        <v>54.83</v>
      </c>
    </row>
    <row r="3749" spans="1:9" ht="21.75" customHeight="1">
      <c r="A3749" s="8" t="s">
        <v>23</v>
      </c>
      <c r="B3749" s="8" t="s">
        <v>42</v>
      </c>
      <c r="C3749" s="9" t="str">
        <f t="shared" si="91"/>
        <v>230129</v>
      </c>
      <c r="D3749" s="9" t="str">
        <f>"230916412"</f>
        <v>230916412</v>
      </c>
      <c r="E3749" s="10">
        <v>61.22</v>
      </c>
      <c r="F3749" s="10"/>
      <c r="G3749" s="10">
        <v>49.54</v>
      </c>
      <c r="H3749" s="10"/>
      <c r="I3749" s="10">
        <v>54.21</v>
      </c>
    </row>
    <row r="3750" spans="1:9" ht="21.75" customHeight="1">
      <c r="A3750" s="8" t="s">
        <v>23</v>
      </c>
      <c r="B3750" s="8" t="s">
        <v>42</v>
      </c>
      <c r="C3750" s="9" t="str">
        <f t="shared" si="91"/>
        <v>230129</v>
      </c>
      <c r="D3750" s="9" t="str">
        <f>"230916426"</f>
        <v>230916426</v>
      </c>
      <c r="E3750" s="10">
        <v>69.62</v>
      </c>
      <c r="F3750" s="10"/>
      <c r="G3750" s="10">
        <v>40.380000000000003</v>
      </c>
      <c r="H3750" s="10"/>
      <c r="I3750" s="10">
        <v>52.08</v>
      </c>
    </row>
    <row r="3751" spans="1:9" s="1" customFormat="1" ht="21.75" customHeight="1">
      <c r="A3751" s="8" t="s">
        <v>23</v>
      </c>
      <c r="B3751" s="8" t="s">
        <v>42</v>
      </c>
      <c r="C3751" s="9" t="str">
        <f t="shared" ref="C3751:C3769" si="92">"230129"</f>
        <v>230129</v>
      </c>
      <c r="D3751" s="9" t="str">
        <f>"230916506"</f>
        <v>230916506</v>
      </c>
      <c r="E3751" s="10">
        <v>60.78</v>
      </c>
      <c r="F3751" s="10"/>
      <c r="G3751" s="10">
        <v>41.75</v>
      </c>
      <c r="H3751" s="10"/>
      <c r="I3751" s="10">
        <v>49.36</v>
      </c>
    </row>
    <row r="3752" spans="1:9" ht="21.75" customHeight="1">
      <c r="A3752" s="8" t="s">
        <v>23</v>
      </c>
      <c r="B3752" s="8" t="s">
        <v>42</v>
      </c>
      <c r="C3752" s="9" t="str">
        <f t="shared" si="92"/>
        <v>230129</v>
      </c>
      <c r="D3752" s="9" t="str">
        <f>"230916410"</f>
        <v>230916410</v>
      </c>
      <c r="E3752" s="10">
        <v>59.74</v>
      </c>
      <c r="F3752" s="10"/>
      <c r="G3752" s="10">
        <v>41.37</v>
      </c>
      <c r="H3752" s="10"/>
      <c r="I3752" s="10">
        <v>48.72</v>
      </c>
    </row>
    <row r="3753" spans="1:9" s="1" customFormat="1" ht="21.75" customHeight="1">
      <c r="A3753" s="8" t="s">
        <v>23</v>
      </c>
      <c r="B3753" s="8" t="s">
        <v>42</v>
      </c>
      <c r="C3753" s="9" t="str">
        <f t="shared" si="92"/>
        <v>230129</v>
      </c>
      <c r="D3753" s="9" t="str">
        <f>"230916407"</f>
        <v>230916407</v>
      </c>
      <c r="E3753" s="10">
        <v>0</v>
      </c>
      <c r="F3753" s="10"/>
      <c r="G3753" s="10">
        <v>0</v>
      </c>
      <c r="H3753" s="10"/>
      <c r="I3753" s="10">
        <v>0</v>
      </c>
    </row>
    <row r="3754" spans="1:9" s="1" customFormat="1" ht="21.75" customHeight="1">
      <c r="A3754" s="8" t="s">
        <v>23</v>
      </c>
      <c r="B3754" s="8" t="s">
        <v>42</v>
      </c>
      <c r="C3754" s="9" t="str">
        <f t="shared" si="92"/>
        <v>230129</v>
      </c>
      <c r="D3754" s="9" t="str">
        <f>"230916416"</f>
        <v>230916416</v>
      </c>
      <c r="E3754" s="10">
        <v>0</v>
      </c>
      <c r="F3754" s="10"/>
      <c r="G3754" s="10">
        <v>0</v>
      </c>
      <c r="H3754" s="10"/>
      <c r="I3754" s="10">
        <v>0</v>
      </c>
    </row>
    <row r="3755" spans="1:9" ht="21.75" customHeight="1">
      <c r="A3755" s="8" t="s">
        <v>23</v>
      </c>
      <c r="B3755" s="8" t="s">
        <v>42</v>
      </c>
      <c r="C3755" s="9" t="str">
        <f t="shared" si="92"/>
        <v>230129</v>
      </c>
      <c r="D3755" s="9" t="str">
        <f>"230916422"</f>
        <v>230916422</v>
      </c>
      <c r="E3755" s="10">
        <v>0</v>
      </c>
      <c r="F3755" s="10"/>
      <c r="G3755" s="10">
        <v>0</v>
      </c>
      <c r="H3755" s="10"/>
      <c r="I3755" s="10">
        <v>0</v>
      </c>
    </row>
    <row r="3756" spans="1:9" ht="21.75" customHeight="1">
      <c r="A3756" s="8" t="s">
        <v>23</v>
      </c>
      <c r="B3756" s="8" t="s">
        <v>42</v>
      </c>
      <c r="C3756" s="9" t="str">
        <f t="shared" si="92"/>
        <v>230129</v>
      </c>
      <c r="D3756" s="9" t="str">
        <f>"230916423"</f>
        <v>230916423</v>
      </c>
      <c r="E3756" s="10">
        <v>0</v>
      </c>
      <c r="F3756" s="10"/>
      <c r="G3756" s="10">
        <v>0</v>
      </c>
      <c r="H3756" s="10"/>
      <c r="I3756" s="10">
        <v>0</v>
      </c>
    </row>
    <row r="3757" spans="1:9" ht="21.75" customHeight="1">
      <c r="A3757" s="8" t="s">
        <v>23</v>
      </c>
      <c r="B3757" s="8" t="s">
        <v>42</v>
      </c>
      <c r="C3757" s="9" t="str">
        <f t="shared" si="92"/>
        <v>230129</v>
      </c>
      <c r="D3757" s="9" t="str">
        <f>"230916424"</f>
        <v>230916424</v>
      </c>
      <c r="E3757" s="10">
        <v>0</v>
      </c>
      <c r="F3757" s="10"/>
      <c r="G3757" s="10">
        <v>0</v>
      </c>
      <c r="H3757" s="10"/>
      <c r="I3757" s="10">
        <v>0</v>
      </c>
    </row>
    <row r="3758" spans="1:9" s="1" customFormat="1" ht="21.75" customHeight="1">
      <c r="A3758" s="8" t="s">
        <v>23</v>
      </c>
      <c r="B3758" s="8" t="s">
        <v>42</v>
      </c>
      <c r="C3758" s="9" t="str">
        <f t="shared" si="92"/>
        <v>230129</v>
      </c>
      <c r="D3758" s="9" t="str">
        <f>"230916505"</f>
        <v>230916505</v>
      </c>
      <c r="E3758" s="10">
        <v>0</v>
      </c>
      <c r="F3758" s="10"/>
      <c r="G3758" s="10">
        <v>0</v>
      </c>
      <c r="H3758" s="10"/>
      <c r="I3758" s="10">
        <v>0</v>
      </c>
    </row>
    <row r="3759" spans="1:9" ht="21.75" customHeight="1">
      <c r="A3759" s="8" t="s">
        <v>23</v>
      </c>
      <c r="B3759" s="8" t="s">
        <v>42</v>
      </c>
      <c r="C3759" s="9" t="str">
        <f t="shared" si="92"/>
        <v>230129</v>
      </c>
      <c r="D3759" s="9" t="str">
        <f>"230916507"</f>
        <v>230916507</v>
      </c>
      <c r="E3759" s="10">
        <v>0</v>
      </c>
      <c r="F3759" s="10"/>
      <c r="G3759" s="10">
        <v>0</v>
      </c>
      <c r="H3759" s="10"/>
      <c r="I3759" s="10">
        <v>0</v>
      </c>
    </row>
    <row r="3760" spans="1:9" ht="21.75" customHeight="1">
      <c r="A3760" s="8" t="s">
        <v>23</v>
      </c>
      <c r="B3760" s="8" t="s">
        <v>42</v>
      </c>
      <c r="C3760" s="9" t="str">
        <f t="shared" si="92"/>
        <v>230129</v>
      </c>
      <c r="D3760" s="9" t="str">
        <f>"230916508"</f>
        <v>230916508</v>
      </c>
      <c r="E3760" s="10">
        <v>0</v>
      </c>
      <c r="F3760" s="10"/>
      <c r="G3760" s="10">
        <v>0</v>
      </c>
      <c r="H3760" s="10"/>
      <c r="I3760" s="10">
        <v>0</v>
      </c>
    </row>
    <row r="3761" spans="1:9" ht="21.75" customHeight="1">
      <c r="A3761" s="8" t="s">
        <v>23</v>
      </c>
      <c r="B3761" s="8" t="s">
        <v>42</v>
      </c>
      <c r="C3761" s="9" t="str">
        <f t="shared" si="92"/>
        <v>230129</v>
      </c>
      <c r="D3761" s="9" t="str">
        <f>"230916512"</f>
        <v>230916512</v>
      </c>
      <c r="E3761" s="10">
        <v>0</v>
      </c>
      <c r="F3761" s="10"/>
      <c r="G3761" s="10">
        <v>0</v>
      </c>
      <c r="H3761" s="10"/>
      <c r="I3761" s="10">
        <v>0</v>
      </c>
    </row>
    <row r="3762" spans="1:9" ht="21.75" customHeight="1">
      <c r="A3762" s="8" t="s">
        <v>23</v>
      </c>
      <c r="B3762" s="8" t="s">
        <v>42</v>
      </c>
      <c r="C3762" s="9" t="str">
        <f t="shared" si="92"/>
        <v>230129</v>
      </c>
      <c r="D3762" s="9" t="str">
        <f>"230916513"</f>
        <v>230916513</v>
      </c>
      <c r="E3762" s="10">
        <v>0</v>
      </c>
      <c r="F3762" s="10"/>
      <c r="G3762" s="10">
        <v>0</v>
      </c>
      <c r="H3762" s="10"/>
      <c r="I3762" s="10">
        <v>0</v>
      </c>
    </row>
    <row r="3763" spans="1:9" ht="21.75" customHeight="1">
      <c r="A3763" s="8" t="s">
        <v>23</v>
      </c>
      <c r="B3763" s="8" t="s">
        <v>42</v>
      </c>
      <c r="C3763" s="9" t="str">
        <f t="shared" si="92"/>
        <v>230129</v>
      </c>
      <c r="D3763" s="9" t="str">
        <f>"230916514"</f>
        <v>230916514</v>
      </c>
      <c r="E3763" s="10">
        <v>0</v>
      </c>
      <c r="F3763" s="10"/>
      <c r="G3763" s="10">
        <v>0</v>
      </c>
      <c r="H3763" s="10"/>
      <c r="I3763" s="10">
        <v>0</v>
      </c>
    </row>
    <row r="3764" spans="1:9" ht="21.75" customHeight="1">
      <c r="A3764" s="8" t="s">
        <v>23</v>
      </c>
      <c r="B3764" s="8" t="s">
        <v>42</v>
      </c>
      <c r="C3764" s="9" t="str">
        <f t="shared" si="92"/>
        <v>230129</v>
      </c>
      <c r="D3764" s="9" t="str">
        <f>"230916516"</f>
        <v>230916516</v>
      </c>
      <c r="E3764" s="10">
        <v>0</v>
      </c>
      <c r="F3764" s="10"/>
      <c r="G3764" s="10">
        <v>0</v>
      </c>
      <c r="H3764" s="10"/>
      <c r="I3764" s="10">
        <v>0</v>
      </c>
    </row>
    <row r="3765" spans="1:9" ht="21.75" customHeight="1">
      <c r="A3765" s="8" t="s">
        <v>23</v>
      </c>
      <c r="B3765" s="8" t="s">
        <v>42</v>
      </c>
      <c r="C3765" s="9" t="str">
        <f t="shared" si="92"/>
        <v>230129</v>
      </c>
      <c r="D3765" s="9" t="str">
        <f>"230916517"</f>
        <v>230916517</v>
      </c>
      <c r="E3765" s="10">
        <v>0</v>
      </c>
      <c r="F3765" s="10"/>
      <c r="G3765" s="10">
        <v>0</v>
      </c>
      <c r="H3765" s="10"/>
      <c r="I3765" s="10">
        <v>0</v>
      </c>
    </row>
    <row r="3766" spans="1:9" s="1" customFormat="1" ht="21.75" customHeight="1">
      <c r="A3766" s="8" t="s">
        <v>23</v>
      </c>
      <c r="B3766" s="8" t="s">
        <v>42</v>
      </c>
      <c r="C3766" s="9" t="str">
        <f t="shared" si="92"/>
        <v>230129</v>
      </c>
      <c r="D3766" s="9" t="str">
        <f>"230916519"</f>
        <v>230916519</v>
      </c>
      <c r="E3766" s="10">
        <v>0</v>
      </c>
      <c r="F3766" s="10"/>
      <c r="G3766" s="10">
        <v>0</v>
      </c>
      <c r="H3766" s="10"/>
      <c r="I3766" s="10">
        <v>0</v>
      </c>
    </row>
    <row r="3767" spans="1:9" s="1" customFormat="1" ht="21.75" customHeight="1">
      <c r="A3767" s="8" t="s">
        <v>23</v>
      </c>
      <c r="B3767" s="8" t="s">
        <v>42</v>
      </c>
      <c r="C3767" s="9" t="str">
        <f t="shared" si="92"/>
        <v>230129</v>
      </c>
      <c r="D3767" s="9" t="str">
        <f>"230916520"</f>
        <v>230916520</v>
      </c>
      <c r="E3767" s="10">
        <v>0</v>
      </c>
      <c r="F3767" s="10"/>
      <c r="G3767" s="10">
        <v>0</v>
      </c>
      <c r="H3767" s="10"/>
      <c r="I3767" s="10">
        <v>0</v>
      </c>
    </row>
    <row r="3768" spans="1:9" ht="21.75" customHeight="1">
      <c r="A3768" s="8" t="s">
        <v>23</v>
      </c>
      <c r="B3768" s="8" t="s">
        <v>42</v>
      </c>
      <c r="C3768" s="9" t="str">
        <f t="shared" si="92"/>
        <v>230129</v>
      </c>
      <c r="D3768" s="9" t="str">
        <f>"230916521"</f>
        <v>230916521</v>
      </c>
      <c r="E3768" s="10">
        <v>0</v>
      </c>
      <c r="F3768" s="10"/>
      <c r="G3768" s="10">
        <v>0</v>
      </c>
      <c r="H3768" s="10"/>
      <c r="I3768" s="10">
        <v>0</v>
      </c>
    </row>
    <row r="3769" spans="1:9" s="1" customFormat="1" ht="21.75" customHeight="1">
      <c r="A3769" s="8" t="s">
        <v>23</v>
      </c>
      <c r="B3769" s="8" t="s">
        <v>42</v>
      </c>
      <c r="C3769" s="9" t="str">
        <f t="shared" si="92"/>
        <v>230129</v>
      </c>
      <c r="D3769" s="9" t="str">
        <f>"230916523"</f>
        <v>230916523</v>
      </c>
      <c r="E3769" s="10">
        <v>0</v>
      </c>
      <c r="F3769" s="10"/>
      <c r="G3769" s="10">
        <v>0</v>
      </c>
      <c r="H3769" s="10"/>
      <c r="I3769" s="10">
        <v>0</v>
      </c>
    </row>
    <row r="3770" spans="1:9" s="3" customFormat="1" ht="21.75" customHeight="1">
      <c r="A3770" s="8" t="s">
        <v>23</v>
      </c>
      <c r="B3770" s="8" t="s">
        <v>10</v>
      </c>
      <c r="C3770" s="9" t="str">
        <f t="shared" ref="C3770:C3833" si="93">"230130"</f>
        <v>230130</v>
      </c>
      <c r="D3770" s="9" t="str">
        <f>"230907316"</f>
        <v>230907316</v>
      </c>
      <c r="E3770" s="10">
        <v>77.33</v>
      </c>
      <c r="F3770" s="10"/>
      <c r="G3770" s="10">
        <v>83</v>
      </c>
      <c r="H3770" s="10"/>
      <c r="I3770" s="10">
        <v>80.73</v>
      </c>
    </row>
    <row r="3771" spans="1:9" s="2" customFormat="1" ht="21.75" customHeight="1">
      <c r="A3771" s="8" t="s">
        <v>23</v>
      </c>
      <c r="B3771" s="8" t="s">
        <v>10</v>
      </c>
      <c r="C3771" s="9" t="str">
        <f t="shared" si="93"/>
        <v>230130</v>
      </c>
      <c r="D3771" s="9" t="str">
        <f>"230907115"</f>
        <v>230907115</v>
      </c>
      <c r="E3771" s="10">
        <v>83.32</v>
      </c>
      <c r="F3771" s="10"/>
      <c r="G3771" s="10">
        <v>77.5</v>
      </c>
      <c r="H3771" s="10"/>
      <c r="I3771" s="10">
        <v>79.83</v>
      </c>
    </row>
    <row r="3772" spans="1:9" s="2" customFormat="1" ht="21.75" customHeight="1">
      <c r="A3772" s="8" t="s">
        <v>23</v>
      </c>
      <c r="B3772" s="8" t="s">
        <v>10</v>
      </c>
      <c r="C3772" s="9" t="str">
        <f t="shared" si="93"/>
        <v>230130</v>
      </c>
      <c r="D3772" s="9" t="str">
        <f>"230907401"</f>
        <v>230907401</v>
      </c>
      <c r="E3772" s="10">
        <v>78.84</v>
      </c>
      <c r="F3772" s="10"/>
      <c r="G3772" s="10">
        <v>79.5</v>
      </c>
      <c r="H3772" s="10"/>
      <c r="I3772" s="10">
        <v>79.239999999999995</v>
      </c>
    </row>
    <row r="3773" spans="1:9" s="3" customFormat="1" ht="21.75" customHeight="1">
      <c r="A3773" s="8" t="s">
        <v>23</v>
      </c>
      <c r="B3773" s="8" t="s">
        <v>10</v>
      </c>
      <c r="C3773" s="9" t="str">
        <f t="shared" si="93"/>
        <v>230130</v>
      </c>
      <c r="D3773" s="9" t="str">
        <f>"230907830"</f>
        <v>230907830</v>
      </c>
      <c r="E3773" s="10">
        <v>78.260000000000005</v>
      </c>
      <c r="F3773" s="10"/>
      <c r="G3773" s="10">
        <v>79.5</v>
      </c>
      <c r="H3773" s="10"/>
      <c r="I3773" s="10">
        <v>79</v>
      </c>
    </row>
    <row r="3774" spans="1:9" s="2" customFormat="1" ht="21.75" customHeight="1">
      <c r="A3774" s="8" t="s">
        <v>23</v>
      </c>
      <c r="B3774" s="8" t="s">
        <v>10</v>
      </c>
      <c r="C3774" s="9" t="str">
        <f t="shared" si="93"/>
        <v>230130</v>
      </c>
      <c r="D3774" s="9" t="str">
        <f>"230907719"</f>
        <v>230907719</v>
      </c>
      <c r="E3774" s="10">
        <v>80.319999999999993</v>
      </c>
      <c r="F3774" s="10"/>
      <c r="G3774" s="10">
        <v>78</v>
      </c>
      <c r="H3774" s="10"/>
      <c r="I3774" s="10">
        <v>78.930000000000007</v>
      </c>
    </row>
    <row r="3775" spans="1:9" s="3" customFormat="1" ht="21.75" customHeight="1">
      <c r="A3775" s="8" t="s">
        <v>23</v>
      </c>
      <c r="B3775" s="8" t="s">
        <v>10</v>
      </c>
      <c r="C3775" s="9" t="str">
        <f t="shared" si="93"/>
        <v>230130</v>
      </c>
      <c r="D3775" s="9" t="str">
        <f>"230907101"</f>
        <v>230907101</v>
      </c>
      <c r="E3775" s="10">
        <v>84.37</v>
      </c>
      <c r="F3775" s="10"/>
      <c r="G3775" s="10">
        <v>75</v>
      </c>
      <c r="H3775" s="10"/>
      <c r="I3775" s="10">
        <v>78.75</v>
      </c>
    </row>
    <row r="3776" spans="1:9" s="3" customFormat="1" ht="21.75" customHeight="1">
      <c r="A3776" s="8" t="s">
        <v>23</v>
      </c>
      <c r="B3776" s="8" t="s">
        <v>10</v>
      </c>
      <c r="C3776" s="9" t="str">
        <f t="shared" si="93"/>
        <v>230130</v>
      </c>
      <c r="D3776" s="9" t="str">
        <f>"230907418"</f>
        <v>230907418</v>
      </c>
      <c r="E3776" s="10">
        <v>76.78</v>
      </c>
      <c r="F3776" s="10"/>
      <c r="G3776" s="10">
        <v>80</v>
      </c>
      <c r="H3776" s="10"/>
      <c r="I3776" s="10">
        <v>78.709999999999994</v>
      </c>
    </row>
    <row r="3777" spans="1:9" s="2" customFormat="1" ht="21.75" customHeight="1">
      <c r="A3777" s="8" t="s">
        <v>23</v>
      </c>
      <c r="B3777" s="8" t="s">
        <v>10</v>
      </c>
      <c r="C3777" s="9" t="str">
        <f t="shared" si="93"/>
        <v>230130</v>
      </c>
      <c r="D3777" s="9" t="str">
        <f>"230907128"</f>
        <v>230907128</v>
      </c>
      <c r="E3777" s="10">
        <v>80.319999999999993</v>
      </c>
      <c r="F3777" s="10"/>
      <c r="G3777" s="10">
        <v>77.5</v>
      </c>
      <c r="H3777" s="10"/>
      <c r="I3777" s="10">
        <v>78.63</v>
      </c>
    </row>
    <row r="3778" spans="1:9" s="2" customFormat="1" ht="21.75" customHeight="1">
      <c r="A3778" s="8" t="s">
        <v>23</v>
      </c>
      <c r="B3778" s="8" t="s">
        <v>10</v>
      </c>
      <c r="C3778" s="9" t="str">
        <f t="shared" si="93"/>
        <v>230130</v>
      </c>
      <c r="D3778" s="9" t="str">
        <f>"230907324"</f>
        <v>230907324</v>
      </c>
      <c r="E3778" s="10">
        <v>81.59</v>
      </c>
      <c r="F3778" s="10"/>
      <c r="G3778" s="10">
        <v>76.5</v>
      </c>
      <c r="H3778" s="10"/>
      <c r="I3778" s="10">
        <v>78.540000000000006</v>
      </c>
    </row>
    <row r="3779" spans="1:9" s="2" customFormat="1" ht="21.75" customHeight="1">
      <c r="A3779" s="8" t="s">
        <v>23</v>
      </c>
      <c r="B3779" s="8" t="s">
        <v>10</v>
      </c>
      <c r="C3779" s="9" t="str">
        <f t="shared" si="93"/>
        <v>230130</v>
      </c>
      <c r="D3779" s="9" t="str">
        <f>"230907821"</f>
        <v>230907821</v>
      </c>
      <c r="E3779" s="10">
        <v>76.989999999999995</v>
      </c>
      <c r="F3779" s="10"/>
      <c r="G3779" s="10">
        <v>79.5</v>
      </c>
      <c r="H3779" s="10"/>
      <c r="I3779" s="10">
        <v>78.5</v>
      </c>
    </row>
    <row r="3780" spans="1:9" s="2" customFormat="1" ht="21.75" customHeight="1">
      <c r="A3780" s="8" t="s">
        <v>23</v>
      </c>
      <c r="B3780" s="8" t="s">
        <v>10</v>
      </c>
      <c r="C3780" s="9" t="str">
        <f t="shared" si="93"/>
        <v>230130</v>
      </c>
      <c r="D3780" s="9" t="str">
        <f>"230907713"</f>
        <v>230907713</v>
      </c>
      <c r="E3780" s="10">
        <v>77.569999999999993</v>
      </c>
      <c r="F3780" s="10"/>
      <c r="G3780" s="10">
        <v>79</v>
      </c>
      <c r="H3780" s="10"/>
      <c r="I3780" s="10">
        <v>78.430000000000007</v>
      </c>
    </row>
    <row r="3781" spans="1:9" s="2" customFormat="1" ht="21.75" customHeight="1">
      <c r="A3781" s="8" t="s">
        <v>23</v>
      </c>
      <c r="B3781" s="8" t="s">
        <v>10</v>
      </c>
      <c r="C3781" s="9" t="str">
        <f t="shared" si="93"/>
        <v>230130</v>
      </c>
      <c r="D3781" s="9" t="str">
        <f>"230907028"</f>
        <v>230907028</v>
      </c>
      <c r="E3781" s="10">
        <v>76.64</v>
      </c>
      <c r="F3781" s="10"/>
      <c r="G3781" s="10">
        <v>79.5</v>
      </c>
      <c r="H3781" s="10"/>
      <c r="I3781" s="10">
        <v>78.36</v>
      </c>
    </row>
    <row r="3782" spans="1:9" s="2" customFormat="1" ht="21.75" customHeight="1">
      <c r="A3782" s="8" t="s">
        <v>23</v>
      </c>
      <c r="B3782" s="8" t="s">
        <v>10</v>
      </c>
      <c r="C3782" s="9" t="str">
        <f t="shared" si="93"/>
        <v>230130</v>
      </c>
      <c r="D3782" s="9" t="str">
        <f>"230907803"</f>
        <v>230907803</v>
      </c>
      <c r="E3782" s="10">
        <v>79.400000000000006</v>
      </c>
      <c r="F3782" s="10"/>
      <c r="G3782" s="10">
        <v>77</v>
      </c>
      <c r="H3782" s="10"/>
      <c r="I3782" s="10">
        <v>77.959999999999994</v>
      </c>
    </row>
    <row r="3783" spans="1:9" s="2" customFormat="1" ht="21.75" customHeight="1">
      <c r="A3783" s="8" t="s">
        <v>23</v>
      </c>
      <c r="B3783" s="8" t="s">
        <v>10</v>
      </c>
      <c r="C3783" s="9" t="str">
        <f t="shared" si="93"/>
        <v>230130</v>
      </c>
      <c r="D3783" s="9" t="str">
        <f>"230907422"</f>
        <v>230907422</v>
      </c>
      <c r="E3783" s="10">
        <v>83.67</v>
      </c>
      <c r="F3783" s="10"/>
      <c r="G3783" s="10">
        <v>74</v>
      </c>
      <c r="H3783" s="10"/>
      <c r="I3783" s="10">
        <v>77.87</v>
      </c>
    </row>
    <row r="3784" spans="1:9" s="2" customFormat="1" ht="21.75" customHeight="1">
      <c r="A3784" s="8" t="s">
        <v>23</v>
      </c>
      <c r="B3784" s="8" t="s">
        <v>10</v>
      </c>
      <c r="C3784" s="9" t="str">
        <f t="shared" si="93"/>
        <v>230130</v>
      </c>
      <c r="D3784" s="9" t="str">
        <f>"230907614"</f>
        <v>230907614</v>
      </c>
      <c r="E3784" s="10">
        <v>78.27</v>
      </c>
      <c r="F3784" s="10"/>
      <c r="G3784" s="10">
        <v>77</v>
      </c>
      <c r="H3784" s="10"/>
      <c r="I3784" s="10">
        <v>77.510000000000005</v>
      </c>
    </row>
    <row r="3785" spans="1:9" s="3" customFormat="1" ht="21.75" customHeight="1">
      <c r="A3785" s="8" t="s">
        <v>23</v>
      </c>
      <c r="B3785" s="8" t="s">
        <v>10</v>
      </c>
      <c r="C3785" s="9" t="str">
        <f t="shared" si="93"/>
        <v>230130</v>
      </c>
      <c r="D3785" s="9" t="str">
        <f>"230907306"</f>
        <v>230907306</v>
      </c>
      <c r="E3785" s="10">
        <v>83.78</v>
      </c>
      <c r="F3785" s="10"/>
      <c r="G3785" s="10">
        <v>73</v>
      </c>
      <c r="H3785" s="10"/>
      <c r="I3785" s="10">
        <v>77.31</v>
      </c>
    </row>
    <row r="3786" spans="1:9" s="2" customFormat="1" ht="21.75" customHeight="1">
      <c r="A3786" s="8" t="s">
        <v>23</v>
      </c>
      <c r="B3786" s="8" t="s">
        <v>10</v>
      </c>
      <c r="C3786" s="9" t="str">
        <f t="shared" si="93"/>
        <v>230130</v>
      </c>
      <c r="D3786" s="9" t="str">
        <f>"230907325"</f>
        <v>230907325</v>
      </c>
      <c r="E3786" s="10">
        <v>87.12</v>
      </c>
      <c r="F3786" s="10"/>
      <c r="G3786" s="10">
        <v>70.5</v>
      </c>
      <c r="H3786" s="10"/>
      <c r="I3786" s="10">
        <v>77.150000000000006</v>
      </c>
    </row>
    <row r="3787" spans="1:9" s="3" customFormat="1" ht="21.75" customHeight="1">
      <c r="A3787" s="8" t="s">
        <v>23</v>
      </c>
      <c r="B3787" s="8" t="s">
        <v>10</v>
      </c>
      <c r="C3787" s="9" t="str">
        <f t="shared" si="93"/>
        <v>230130</v>
      </c>
      <c r="D3787" s="9" t="str">
        <f>"230907901"</f>
        <v>230907901</v>
      </c>
      <c r="E3787" s="10">
        <v>80.34</v>
      </c>
      <c r="F3787" s="10"/>
      <c r="G3787" s="10">
        <v>75</v>
      </c>
      <c r="H3787" s="10"/>
      <c r="I3787" s="10">
        <v>77.14</v>
      </c>
    </row>
    <row r="3788" spans="1:9" s="2" customFormat="1" ht="21.75" customHeight="1">
      <c r="A3788" s="8" t="s">
        <v>23</v>
      </c>
      <c r="B3788" s="8" t="s">
        <v>10</v>
      </c>
      <c r="C3788" s="9" t="str">
        <f t="shared" si="93"/>
        <v>230130</v>
      </c>
      <c r="D3788" s="9" t="str">
        <f>"230907602"</f>
        <v>230907602</v>
      </c>
      <c r="E3788" s="10">
        <v>82.52</v>
      </c>
      <c r="F3788" s="10"/>
      <c r="G3788" s="10">
        <v>73.5</v>
      </c>
      <c r="H3788" s="10"/>
      <c r="I3788" s="10">
        <v>77.11</v>
      </c>
    </row>
    <row r="3789" spans="1:9" s="2" customFormat="1" ht="21.75" customHeight="1">
      <c r="A3789" s="8" t="s">
        <v>23</v>
      </c>
      <c r="B3789" s="8" t="s">
        <v>10</v>
      </c>
      <c r="C3789" s="9" t="str">
        <f t="shared" si="93"/>
        <v>230130</v>
      </c>
      <c r="D3789" s="9" t="str">
        <f>"230907711"</f>
        <v>230907711</v>
      </c>
      <c r="E3789" s="10">
        <v>83.22</v>
      </c>
      <c r="F3789" s="10"/>
      <c r="G3789" s="10">
        <v>72.5</v>
      </c>
      <c r="H3789" s="10"/>
      <c r="I3789" s="10">
        <v>76.790000000000006</v>
      </c>
    </row>
    <row r="3790" spans="1:9" s="3" customFormat="1" ht="21.75" customHeight="1">
      <c r="A3790" s="8" t="s">
        <v>23</v>
      </c>
      <c r="B3790" s="8" t="s">
        <v>10</v>
      </c>
      <c r="C3790" s="9" t="str">
        <f t="shared" si="93"/>
        <v>230130</v>
      </c>
      <c r="D3790" s="9" t="str">
        <f>"230907118"</f>
        <v>230907118</v>
      </c>
      <c r="E3790" s="10">
        <v>76.3</v>
      </c>
      <c r="F3790" s="10"/>
      <c r="G3790" s="10">
        <v>77</v>
      </c>
      <c r="H3790" s="10"/>
      <c r="I3790" s="10">
        <v>76.72</v>
      </c>
    </row>
    <row r="3791" spans="1:9" s="3" customFormat="1" ht="21.75" customHeight="1">
      <c r="A3791" s="8" t="s">
        <v>23</v>
      </c>
      <c r="B3791" s="8" t="s">
        <v>10</v>
      </c>
      <c r="C3791" s="9" t="str">
        <f t="shared" si="93"/>
        <v>230130</v>
      </c>
      <c r="D3791" s="9" t="str">
        <f>"230907304"</f>
        <v>230907304</v>
      </c>
      <c r="E3791" s="10">
        <v>76.989999999999995</v>
      </c>
      <c r="F3791" s="10"/>
      <c r="G3791" s="10">
        <v>76.5</v>
      </c>
      <c r="H3791" s="10"/>
      <c r="I3791" s="10">
        <v>76.7</v>
      </c>
    </row>
    <row r="3792" spans="1:9" s="3" customFormat="1" ht="21.75" customHeight="1">
      <c r="A3792" s="8" t="s">
        <v>23</v>
      </c>
      <c r="B3792" s="8" t="s">
        <v>10</v>
      </c>
      <c r="C3792" s="9" t="str">
        <f t="shared" si="93"/>
        <v>230130</v>
      </c>
      <c r="D3792" s="9" t="str">
        <f>"230907613"</f>
        <v>230907613</v>
      </c>
      <c r="E3792" s="10">
        <v>82.07</v>
      </c>
      <c r="F3792" s="10"/>
      <c r="G3792" s="10">
        <v>73</v>
      </c>
      <c r="H3792" s="10"/>
      <c r="I3792" s="10">
        <v>76.63</v>
      </c>
    </row>
    <row r="3793" spans="1:9" s="2" customFormat="1" ht="21.75" customHeight="1">
      <c r="A3793" s="8" t="s">
        <v>23</v>
      </c>
      <c r="B3793" s="8" t="s">
        <v>10</v>
      </c>
      <c r="C3793" s="9" t="str">
        <f t="shared" si="93"/>
        <v>230130</v>
      </c>
      <c r="D3793" s="9" t="str">
        <f>"230907403"</f>
        <v>230907403</v>
      </c>
      <c r="E3793" s="10">
        <v>80.09</v>
      </c>
      <c r="F3793" s="10"/>
      <c r="G3793" s="10">
        <v>74</v>
      </c>
      <c r="H3793" s="10"/>
      <c r="I3793" s="10">
        <v>76.44</v>
      </c>
    </row>
    <row r="3794" spans="1:9" s="2" customFormat="1" ht="21.75" customHeight="1">
      <c r="A3794" s="8" t="s">
        <v>23</v>
      </c>
      <c r="B3794" s="8" t="s">
        <v>10</v>
      </c>
      <c r="C3794" s="9" t="str">
        <f t="shared" si="93"/>
        <v>230130</v>
      </c>
      <c r="D3794" s="9" t="str">
        <f>"230907625"</f>
        <v>230907625</v>
      </c>
      <c r="E3794" s="10">
        <v>74.11</v>
      </c>
      <c r="F3794" s="10"/>
      <c r="G3794" s="10">
        <v>78</v>
      </c>
      <c r="H3794" s="10"/>
      <c r="I3794" s="10">
        <v>76.44</v>
      </c>
    </row>
    <row r="3795" spans="1:9" s="3" customFormat="1" ht="21.75" customHeight="1">
      <c r="A3795" s="8" t="s">
        <v>23</v>
      </c>
      <c r="B3795" s="8" t="s">
        <v>10</v>
      </c>
      <c r="C3795" s="9" t="str">
        <f t="shared" si="93"/>
        <v>230130</v>
      </c>
      <c r="D3795" s="9" t="str">
        <f>"230907412"</f>
        <v>230907412</v>
      </c>
      <c r="E3795" s="10">
        <v>74</v>
      </c>
      <c r="F3795" s="10"/>
      <c r="G3795" s="10">
        <v>78</v>
      </c>
      <c r="H3795" s="10"/>
      <c r="I3795" s="10">
        <v>76.400000000000006</v>
      </c>
    </row>
    <row r="3796" spans="1:9" s="3" customFormat="1" ht="21.75" customHeight="1">
      <c r="A3796" s="8" t="s">
        <v>23</v>
      </c>
      <c r="B3796" s="8" t="s">
        <v>10</v>
      </c>
      <c r="C3796" s="9" t="str">
        <f t="shared" si="93"/>
        <v>230130</v>
      </c>
      <c r="D3796" s="9" t="str">
        <f>"230907716"</f>
        <v>230907716</v>
      </c>
      <c r="E3796" s="10">
        <v>83.66</v>
      </c>
      <c r="F3796" s="10"/>
      <c r="G3796" s="10">
        <v>71.5</v>
      </c>
      <c r="H3796" s="10"/>
      <c r="I3796" s="10">
        <v>76.36</v>
      </c>
    </row>
    <row r="3797" spans="1:9" s="3" customFormat="1" ht="21.75" customHeight="1">
      <c r="A3797" s="8" t="s">
        <v>23</v>
      </c>
      <c r="B3797" s="8" t="s">
        <v>10</v>
      </c>
      <c r="C3797" s="9" t="str">
        <f t="shared" si="93"/>
        <v>230130</v>
      </c>
      <c r="D3797" s="9" t="str">
        <f>"230907421"</f>
        <v>230907421</v>
      </c>
      <c r="E3797" s="10">
        <v>72.510000000000005</v>
      </c>
      <c r="F3797" s="10"/>
      <c r="G3797" s="10">
        <v>78.5</v>
      </c>
      <c r="H3797" s="10"/>
      <c r="I3797" s="10">
        <v>76.099999999999994</v>
      </c>
    </row>
    <row r="3798" spans="1:9" s="2" customFormat="1" ht="21.75" customHeight="1">
      <c r="A3798" s="8" t="s">
        <v>23</v>
      </c>
      <c r="B3798" s="8" t="s">
        <v>10</v>
      </c>
      <c r="C3798" s="9" t="str">
        <f t="shared" si="93"/>
        <v>230130</v>
      </c>
      <c r="D3798" s="9" t="str">
        <f>"230907615"</f>
        <v>230907615</v>
      </c>
      <c r="E3798" s="10">
        <v>76.650000000000006</v>
      </c>
      <c r="F3798" s="10"/>
      <c r="G3798" s="10">
        <v>75.5</v>
      </c>
      <c r="H3798" s="10"/>
      <c r="I3798" s="10">
        <v>75.959999999999994</v>
      </c>
    </row>
    <row r="3799" spans="1:9" s="3" customFormat="1" ht="21.75" customHeight="1">
      <c r="A3799" s="8" t="s">
        <v>23</v>
      </c>
      <c r="B3799" s="8" t="s">
        <v>10</v>
      </c>
      <c r="C3799" s="9" t="str">
        <f t="shared" si="93"/>
        <v>230130</v>
      </c>
      <c r="D3799" s="9" t="str">
        <f>"230907522"</f>
        <v>230907522</v>
      </c>
      <c r="E3799" s="10">
        <v>73.430000000000007</v>
      </c>
      <c r="F3799" s="10"/>
      <c r="G3799" s="10">
        <v>77.5</v>
      </c>
      <c r="H3799" s="10"/>
      <c r="I3799" s="10">
        <v>75.87</v>
      </c>
    </row>
    <row r="3800" spans="1:9" s="2" customFormat="1" ht="21.75" customHeight="1">
      <c r="A3800" s="8" t="s">
        <v>23</v>
      </c>
      <c r="B3800" s="8" t="s">
        <v>10</v>
      </c>
      <c r="C3800" s="9" t="str">
        <f t="shared" si="93"/>
        <v>230130</v>
      </c>
      <c r="D3800" s="9" t="str">
        <f>"230907729"</f>
        <v>230907729</v>
      </c>
      <c r="E3800" s="10">
        <v>70.790000000000006</v>
      </c>
      <c r="F3800" s="10"/>
      <c r="G3800" s="10">
        <v>79</v>
      </c>
      <c r="H3800" s="10"/>
      <c r="I3800" s="10">
        <v>75.72</v>
      </c>
    </row>
    <row r="3801" spans="1:9" s="2" customFormat="1" ht="21.75" customHeight="1">
      <c r="A3801" s="8" t="s">
        <v>23</v>
      </c>
      <c r="B3801" s="8" t="s">
        <v>10</v>
      </c>
      <c r="C3801" s="9" t="str">
        <f t="shared" si="93"/>
        <v>230130</v>
      </c>
      <c r="D3801" s="9" t="str">
        <f>"230907819"</f>
        <v>230907819</v>
      </c>
      <c r="E3801" s="10">
        <v>80.45</v>
      </c>
      <c r="F3801" s="10"/>
      <c r="G3801" s="10">
        <v>72</v>
      </c>
      <c r="H3801" s="10"/>
      <c r="I3801" s="10">
        <v>75.38</v>
      </c>
    </row>
    <row r="3802" spans="1:9" s="2" customFormat="1" ht="21.75" customHeight="1">
      <c r="A3802" s="8" t="s">
        <v>23</v>
      </c>
      <c r="B3802" s="8" t="s">
        <v>10</v>
      </c>
      <c r="C3802" s="9" t="str">
        <f t="shared" si="93"/>
        <v>230130</v>
      </c>
      <c r="D3802" s="9" t="str">
        <f>"230907327"</f>
        <v>230907327</v>
      </c>
      <c r="E3802" s="10">
        <v>76.64</v>
      </c>
      <c r="F3802" s="10"/>
      <c r="G3802" s="10">
        <v>74.5</v>
      </c>
      <c r="H3802" s="10"/>
      <c r="I3802" s="10">
        <v>75.36</v>
      </c>
    </row>
    <row r="3803" spans="1:9" s="2" customFormat="1" ht="21.75" customHeight="1">
      <c r="A3803" s="8" t="s">
        <v>23</v>
      </c>
      <c r="B3803" s="8" t="s">
        <v>10</v>
      </c>
      <c r="C3803" s="9" t="str">
        <f t="shared" si="93"/>
        <v>230130</v>
      </c>
      <c r="D3803" s="9" t="str">
        <f>"230907725"</f>
        <v>230907725</v>
      </c>
      <c r="E3803" s="10">
        <v>79.400000000000006</v>
      </c>
      <c r="F3803" s="10"/>
      <c r="G3803" s="10">
        <v>72.5</v>
      </c>
      <c r="H3803" s="10"/>
      <c r="I3803" s="10">
        <v>75.260000000000005</v>
      </c>
    </row>
    <row r="3804" spans="1:9" s="2" customFormat="1" ht="21.75" customHeight="1">
      <c r="A3804" s="8" t="s">
        <v>23</v>
      </c>
      <c r="B3804" s="8" t="s">
        <v>10</v>
      </c>
      <c r="C3804" s="9" t="str">
        <f t="shared" si="93"/>
        <v>230130</v>
      </c>
      <c r="D3804" s="9" t="str">
        <f>"230908020"</f>
        <v>230908020</v>
      </c>
      <c r="E3804" s="10">
        <v>77.91</v>
      </c>
      <c r="F3804" s="10"/>
      <c r="G3804" s="10">
        <v>73.5</v>
      </c>
      <c r="H3804" s="10"/>
      <c r="I3804" s="10">
        <v>75.260000000000005</v>
      </c>
    </row>
    <row r="3805" spans="1:9" s="3" customFormat="1" ht="21.75" customHeight="1">
      <c r="A3805" s="8" t="s">
        <v>23</v>
      </c>
      <c r="B3805" s="8" t="s">
        <v>10</v>
      </c>
      <c r="C3805" s="9" t="str">
        <f t="shared" si="93"/>
        <v>230130</v>
      </c>
      <c r="D3805" s="9" t="str">
        <f>"230907524"</f>
        <v>230907524</v>
      </c>
      <c r="E3805" s="10">
        <v>73.88</v>
      </c>
      <c r="F3805" s="10"/>
      <c r="G3805" s="10">
        <v>76</v>
      </c>
      <c r="H3805" s="10"/>
      <c r="I3805" s="10">
        <v>75.150000000000006</v>
      </c>
    </row>
    <row r="3806" spans="1:9" s="2" customFormat="1" ht="21.75" customHeight="1">
      <c r="A3806" s="8" t="s">
        <v>23</v>
      </c>
      <c r="B3806" s="8" t="s">
        <v>10</v>
      </c>
      <c r="C3806" s="9" t="str">
        <f t="shared" si="93"/>
        <v>230130</v>
      </c>
      <c r="D3806" s="9" t="str">
        <f>"230907126"</f>
        <v>230907126</v>
      </c>
      <c r="E3806" s="10">
        <v>61.83</v>
      </c>
      <c r="F3806" s="10"/>
      <c r="G3806" s="10">
        <v>84</v>
      </c>
      <c r="H3806" s="10"/>
      <c r="I3806" s="10">
        <v>75.13</v>
      </c>
    </row>
    <row r="3807" spans="1:9" s="3" customFormat="1" ht="21.75" customHeight="1">
      <c r="A3807" s="8" t="s">
        <v>23</v>
      </c>
      <c r="B3807" s="8" t="s">
        <v>10</v>
      </c>
      <c r="C3807" s="9" t="str">
        <f t="shared" si="93"/>
        <v>230130</v>
      </c>
      <c r="D3807" s="9" t="str">
        <f>"230908010"</f>
        <v>230908010</v>
      </c>
      <c r="E3807" s="10">
        <v>74.58</v>
      </c>
      <c r="F3807" s="10"/>
      <c r="G3807" s="10">
        <v>75.5</v>
      </c>
      <c r="H3807" s="10"/>
      <c r="I3807" s="10">
        <v>75.13</v>
      </c>
    </row>
    <row r="3808" spans="1:9" s="3" customFormat="1" ht="21.75" customHeight="1">
      <c r="A3808" s="8" t="s">
        <v>23</v>
      </c>
      <c r="B3808" s="8" t="s">
        <v>10</v>
      </c>
      <c r="C3808" s="9" t="str">
        <f t="shared" si="93"/>
        <v>230130</v>
      </c>
      <c r="D3808" s="9" t="str">
        <f>"230908018"</f>
        <v>230908018</v>
      </c>
      <c r="E3808" s="10">
        <v>78.150000000000006</v>
      </c>
      <c r="F3808" s="10"/>
      <c r="G3808" s="10">
        <v>73</v>
      </c>
      <c r="H3808" s="10"/>
      <c r="I3808" s="10">
        <v>75.06</v>
      </c>
    </row>
    <row r="3809" spans="1:9" s="3" customFormat="1" ht="21.75" customHeight="1">
      <c r="A3809" s="8" t="s">
        <v>23</v>
      </c>
      <c r="B3809" s="8" t="s">
        <v>10</v>
      </c>
      <c r="C3809" s="9" t="str">
        <f t="shared" si="93"/>
        <v>230130</v>
      </c>
      <c r="D3809" s="9" t="str">
        <f>"230907709"</f>
        <v>230907709</v>
      </c>
      <c r="E3809" s="10">
        <v>82.5</v>
      </c>
      <c r="F3809" s="10"/>
      <c r="G3809" s="10">
        <v>70</v>
      </c>
      <c r="H3809" s="10"/>
      <c r="I3809" s="10">
        <v>75</v>
      </c>
    </row>
    <row r="3810" spans="1:9" s="2" customFormat="1" ht="21.75" customHeight="1">
      <c r="A3810" s="8" t="s">
        <v>23</v>
      </c>
      <c r="B3810" s="8" t="s">
        <v>10</v>
      </c>
      <c r="C3810" s="9" t="str">
        <f t="shared" si="93"/>
        <v>230130</v>
      </c>
      <c r="D3810" s="9" t="str">
        <f>"230907514"</f>
        <v>230907514</v>
      </c>
      <c r="E3810" s="10">
        <v>78.48</v>
      </c>
      <c r="F3810" s="10"/>
      <c r="G3810" s="10">
        <v>72.5</v>
      </c>
      <c r="H3810" s="10"/>
      <c r="I3810" s="10">
        <v>74.89</v>
      </c>
    </row>
    <row r="3811" spans="1:9" s="2" customFormat="1" ht="21.75" customHeight="1">
      <c r="A3811" s="8" t="s">
        <v>23</v>
      </c>
      <c r="B3811" s="8" t="s">
        <v>10</v>
      </c>
      <c r="C3811" s="9" t="str">
        <f t="shared" si="93"/>
        <v>230130</v>
      </c>
      <c r="D3811" s="9" t="str">
        <f>"230907520"</f>
        <v>230907520</v>
      </c>
      <c r="E3811" s="10">
        <v>79.180000000000007</v>
      </c>
      <c r="F3811" s="10"/>
      <c r="G3811" s="10">
        <v>72</v>
      </c>
      <c r="H3811" s="10"/>
      <c r="I3811" s="10">
        <v>74.87</v>
      </c>
    </row>
    <row r="3812" spans="1:9" s="2" customFormat="1" ht="21.75" customHeight="1">
      <c r="A3812" s="8" t="s">
        <v>23</v>
      </c>
      <c r="B3812" s="8" t="s">
        <v>10</v>
      </c>
      <c r="C3812" s="9" t="str">
        <f t="shared" si="93"/>
        <v>230130</v>
      </c>
      <c r="D3812" s="9" t="str">
        <f>"230907329"</f>
        <v>230907329</v>
      </c>
      <c r="E3812" s="10">
        <v>72.28</v>
      </c>
      <c r="F3812" s="10"/>
      <c r="G3812" s="10">
        <v>76.5</v>
      </c>
      <c r="H3812" s="10"/>
      <c r="I3812" s="10">
        <v>74.81</v>
      </c>
    </row>
    <row r="3813" spans="1:9" s="2" customFormat="1" ht="21.75" customHeight="1">
      <c r="A3813" s="8" t="s">
        <v>23</v>
      </c>
      <c r="B3813" s="8" t="s">
        <v>10</v>
      </c>
      <c r="C3813" s="9" t="str">
        <f t="shared" si="93"/>
        <v>230130</v>
      </c>
      <c r="D3813" s="9" t="str">
        <f>"230907122"</f>
        <v>230907122</v>
      </c>
      <c r="E3813" s="10">
        <v>73.67</v>
      </c>
      <c r="F3813" s="10"/>
      <c r="G3813" s="10">
        <v>75.5</v>
      </c>
      <c r="H3813" s="10"/>
      <c r="I3813" s="10">
        <v>74.77</v>
      </c>
    </row>
    <row r="3814" spans="1:9" s="2" customFormat="1" ht="21.75" customHeight="1">
      <c r="A3814" s="8" t="s">
        <v>23</v>
      </c>
      <c r="B3814" s="8" t="s">
        <v>10</v>
      </c>
      <c r="C3814" s="9" t="str">
        <f t="shared" si="93"/>
        <v>230130</v>
      </c>
      <c r="D3814" s="9" t="str">
        <f>"230907909"</f>
        <v>230907909</v>
      </c>
      <c r="E3814" s="10">
        <v>77.34</v>
      </c>
      <c r="F3814" s="10"/>
      <c r="G3814" s="10">
        <v>73</v>
      </c>
      <c r="H3814" s="10"/>
      <c r="I3814" s="10">
        <v>74.739999999999995</v>
      </c>
    </row>
    <row r="3815" spans="1:9" s="3" customFormat="1" ht="21.75" customHeight="1">
      <c r="A3815" s="8" t="s">
        <v>23</v>
      </c>
      <c r="B3815" s="8" t="s">
        <v>10</v>
      </c>
      <c r="C3815" s="9" t="str">
        <f t="shared" si="93"/>
        <v>230130</v>
      </c>
      <c r="D3815" s="9" t="str">
        <f>"230907919"</f>
        <v>230907919</v>
      </c>
      <c r="E3815" s="10">
        <v>77.92</v>
      </c>
      <c r="F3815" s="10"/>
      <c r="G3815" s="10">
        <v>72.5</v>
      </c>
      <c r="H3815" s="10"/>
      <c r="I3815" s="10">
        <v>74.67</v>
      </c>
    </row>
    <row r="3816" spans="1:9" s="2" customFormat="1" ht="21.75" customHeight="1">
      <c r="A3816" s="8" t="s">
        <v>23</v>
      </c>
      <c r="B3816" s="8" t="s">
        <v>10</v>
      </c>
      <c r="C3816" s="9" t="str">
        <f t="shared" si="93"/>
        <v>230130</v>
      </c>
      <c r="D3816" s="9" t="str">
        <f>"230907804"</f>
        <v>230907804</v>
      </c>
      <c r="E3816" s="10">
        <v>70.319999999999993</v>
      </c>
      <c r="F3816" s="10"/>
      <c r="G3816" s="10">
        <v>77.5</v>
      </c>
      <c r="H3816" s="10"/>
      <c r="I3816" s="10">
        <v>74.63</v>
      </c>
    </row>
    <row r="3817" spans="1:9" s="2" customFormat="1" ht="21.75" customHeight="1">
      <c r="A3817" s="8" t="s">
        <v>23</v>
      </c>
      <c r="B3817" s="8" t="s">
        <v>10</v>
      </c>
      <c r="C3817" s="9" t="str">
        <f t="shared" si="93"/>
        <v>230130</v>
      </c>
      <c r="D3817" s="9" t="str">
        <f>"230907820"</f>
        <v>230907820</v>
      </c>
      <c r="E3817" s="10">
        <v>73.319999999999993</v>
      </c>
      <c r="F3817" s="10"/>
      <c r="G3817" s="10">
        <v>75.5</v>
      </c>
      <c r="H3817" s="10"/>
      <c r="I3817" s="10">
        <v>74.63</v>
      </c>
    </row>
    <row r="3818" spans="1:9" s="2" customFormat="1" ht="21.75" customHeight="1">
      <c r="A3818" s="8" t="s">
        <v>23</v>
      </c>
      <c r="B3818" s="8" t="s">
        <v>10</v>
      </c>
      <c r="C3818" s="9" t="str">
        <f t="shared" si="93"/>
        <v>230130</v>
      </c>
      <c r="D3818" s="9" t="str">
        <f>"230907417"</f>
        <v>230907417</v>
      </c>
      <c r="E3818" s="10">
        <v>71.81</v>
      </c>
      <c r="F3818" s="10"/>
      <c r="G3818" s="10">
        <v>76.5</v>
      </c>
      <c r="H3818" s="10"/>
      <c r="I3818" s="10">
        <v>74.62</v>
      </c>
    </row>
    <row r="3819" spans="1:9" s="3" customFormat="1" ht="21.75" customHeight="1">
      <c r="A3819" s="8" t="s">
        <v>23</v>
      </c>
      <c r="B3819" s="8" t="s">
        <v>10</v>
      </c>
      <c r="C3819" s="9" t="str">
        <f t="shared" si="93"/>
        <v>230130</v>
      </c>
      <c r="D3819" s="9" t="str">
        <f>"230907801"</f>
        <v>230907801</v>
      </c>
      <c r="E3819" s="10">
        <v>76.989999999999995</v>
      </c>
      <c r="F3819" s="10"/>
      <c r="G3819" s="10">
        <v>73</v>
      </c>
      <c r="H3819" s="10"/>
      <c r="I3819" s="10">
        <v>74.599999999999994</v>
      </c>
    </row>
    <row r="3820" spans="1:9" s="2" customFormat="1" ht="21.75" customHeight="1">
      <c r="A3820" s="8" t="s">
        <v>23</v>
      </c>
      <c r="B3820" s="8" t="s">
        <v>10</v>
      </c>
      <c r="C3820" s="9" t="str">
        <f t="shared" si="93"/>
        <v>230130</v>
      </c>
      <c r="D3820" s="9" t="str">
        <f>"230907227"</f>
        <v>230907227</v>
      </c>
      <c r="E3820" s="10">
        <v>73.08</v>
      </c>
      <c r="F3820" s="10"/>
      <c r="G3820" s="10">
        <v>75.5</v>
      </c>
      <c r="H3820" s="10"/>
      <c r="I3820" s="10">
        <v>74.53</v>
      </c>
    </row>
    <row r="3821" spans="1:9" s="2" customFormat="1" ht="21.75" customHeight="1">
      <c r="A3821" s="8" t="s">
        <v>23</v>
      </c>
      <c r="B3821" s="8" t="s">
        <v>10</v>
      </c>
      <c r="C3821" s="9" t="str">
        <f t="shared" si="93"/>
        <v>230130</v>
      </c>
      <c r="D3821" s="9" t="str">
        <f>"230907411"</f>
        <v>230907411</v>
      </c>
      <c r="E3821" s="10">
        <v>69.63</v>
      </c>
      <c r="F3821" s="10"/>
      <c r="G3821" s="10">
        <v>77.5</v>
      </c>
      <c r="H3821" s="10"/>
      <c r="I3821" s="10">
        <v>74.349999999999994</v>
      </c>
    </row>
    <row r="3822" spans="1:9" s="2" customFormat="1" ht="21.75" customHeight="1">
      <c r="A3822" s="8" t="s">
        <v>23</v>
      </c>
      <c r="B3822" s="8" t="s">
        <v>10</v>
      </c>
      <c r="C3822" s="9" t="str">
        <f t="shared" si="93"/>
        <v>230130</v>
      </c>
      <c r="D3822" s="9" t="str">
        <f>"230907209"</f>
        <v>230907209</v>
      </c>
      <c r="E3822" s="10">
        <v>73.319999999999993</v>
      </c>
      <c r="F3822" s="10"/>
      <c r="G3822" s="10">
        <v>75</v>
      </c>
      <c r="H3822" s="10"/>
      <c r="I3822" s="10">
        <v>74.33</v>
      </c>
    </row>
    <row r="3823" spans="1:9" s="2" customFormat="1" ht="21.75" customHeight="1">
      <c r="A3823" s="8" t="s">
        <v>23</v>
      </c>
      <c r="B3823" s="8" t="s">
        <v>10</v>
      </c>
      <c r="C3823" s="9" t="str">
        <f t="shared" si="93"/>
        <v>230130</v>
      </c>
      <c r="D3823" s="9" t="str">
        <f>"230907228"</f>
        <v>230907228</v>
      </c>
      <c r="E3823" s="10">
        <v>71.47</v>
      </c>
      <c r="F3823" s="10"/>
      <c r="G3823" s="10">
        <v>76</v>
      </c>
      <c r="H3823" s="10"/>
      <c r="I3823" s="10">
        <v>74.19</v>
      </c>
    </row>
    <row r="3824" spans="1:9" s="2" customFormat="1" ht="21.75" customHeight="1">
      <c r="A3824" s="8" t="s">
        <v>23</v>
      </c>
      <c r="B3824" s="8" t="s">
        <v>10</v>
      </c>
      <c r="C3824" s="9" t="str">
        <f t="shared" si="93"/>
        <v>230130</v>
      </c>
      <c r="D3824" s="9" t="str">
        <f>"230907814"</f>
        <v>230907814</v>
      </c>
      <c r="E3824" s="10">
        <v>75.150000000000006</v>
      </c>
      <c r="F3824" s="10"/>
      <c r="G3824" s="10">
        <v>73.5</v>
      </c>
      <c r="H3824" s="10"/>
      <c r="I3824" s="10">
        <v>74.16</v>
      </c>
    </row>
    <row r="3825" spans="1:9" s="3" customFormat="1" ht="21.75" customHeight="1">
      <c r="A3825" s="8" t="s">
        <v>23</v>
      </c>
      <c r="B3825" s="8" t="s">
        <v>10</v>
      </c>
      <c r="C3825" s="9" t="str">
        <f t="shared" si="93"/>
        <v>230130</v>
      </c>
      <c r="D3825" s="9" t="str">
        <f>"230907222"</f>
        <v>230907222</v>
      </c>
      <c r="E3825" s="10">
        <v>74.81</v>
      </c>
      <c r="F3825" s="10"/>
      <c r="G3825" s="10">
        <v>73.5</v>
      </c>
      <c r="H3825" s="10"/>
      <c r="I3825" s="10">
        <v>74.02</v>
      </c>
    </row>
    <row r="3826" spans="1:9" s="3" customFormat="1" ht="21.75" customHeight="1">
      <c r="A3826" s="8" t="s">
        <v>23</v>
      </c>
      <c r="B3826" s="8" t="s">
        <v>10</v>
      </c>
      <c r="C3826" s="9" t="str">
        <f t="shared" si="93"/>
        <v>230130</v>
      </c>
      <c r="D3826" s="9" t="str">
        <f>"230907425"</f>
        <v>230907425</v>
      </c>
      <c r="E3826" s="10">
        <v>64.7</v>
      </c>
      <c r="F3826" s="10"/>
      <c r="G3826" s="10">
        <v>80</v>
      </c>
      <c r="H3826" s="10"/>
      <c r="I3826" s="10">
        <v>73.88</v>
      </c>
    </row>
    <row r="3827" spans="1:9" s="2" customFormat="1" ht="21.75" customHeight="1">
      <c r="A3827" s="8" t="s">
        <v>23</v>
      </c>
      <c r="B3827" s="8" t="s">
        <v>10</v>
      </c>
      <c r="C3827" s="9" t="str">
        <f t="shared" si="93"/>
        <v>230130</v>
      </c>
      <c r="D3827" s="9" t="str">
        <f>"230907807"</f>
        <v>230907807</v>
      </c>
      <c r="E3827" s="10">
        <v>77.349999999999994</v>
      </c>
      <c r="F3827" s="10"/>
      <c r="G3827" s="10">
        <v>71.5</v>
      </c>
      <c r="H3827" s="10"/>
      <c r="I3827" s="10">
        <v>73.84</v>
      </c>
    </row>
    <row r="3828" spans="1:9" s="2" customFormat="1" ht="21.75" customHeight="1">
      <c r="A3828" s="8" t="s">
        <v>23</v>
      </c>
      <c r="B3828" s="8" t="s">
        <v>10</v>
      </c>
      <c r="C3828" s="9" t="str">
        <f t="shared" si="93"/>
        <v>230130</v>
      </c>
      <c r="D3828" s="9" t="str">
        <f>"230907701"</f>
        <v>230907701</v>
      </c>
      <c r="E3828" s="10">
        <v>80.680000000000007</v>
      </c>
      <c r="F3828" s="10"/>
      <c r="G3828" s="10">
        <v>69</v>
      </c>
      <c r="H3828" s="10"/>
      <c r="I3828" s="10">
        <v>73.67</v>
      </c>
    </row>
    <row r="3829" spans="1:9" s="2" customFormat="1" ht="21.75" customHeight="1">
      <c r="A3829" s="8" t="s">
        <v>23</v>
      </c>
      <c r="B3829" s="8" t="s">
        <v>10</v>
      </c>
      <c r="C3829" s="9" t="str">
        <f t="shared" si="93"/>
        <v>230130</v>
      </c>
      <c r="D3829" s="9" t="str">
        <f>"230907424"</f>
        <v>230907424</v>
      </c>
      <c r="E3829" s="10">
        <v>73.89</v>
      </c>
      <c r="F3829" s="10"/>
      <c r="G3829" s="10">
        <v>73.5</v>
      </c>
      <c r="H3829" s="10"/>
      <c r="I3829" s="10">
        <v>73.66</v>
      </c>
    </row>
    <row r="3830" spans="1:9" s="2" customFormat="1" ht="21.75" customHeight="1">
      <c r="A3830" s="8" t="s">
        <v>23</v>
      </c>
      <c r="B3830" s="8" t="s">
        <v>10</v>
      </c>
      <c r="C3830" s="9" t="str">
        <f t="shared" si="93"/>
        <v>230130</v>
      </c>
      <c r="D3830" s="9" t="str">
        <f>"230907309"</f>
        <v>230907309</v>
      </c>
      <c r="E3830" s="10">
        <v>74.58</v>
      </c>
      <c r="F3830" s="10"/>
      <c r="G3830" s="10">
        <v>73</v>
      </c>
      <c r="H3830" s="10"/>
      <c r="I3830" s="10">
        <v>73.63</v>
      </c>
    </row>
    <row r="3831" spans="1:9" s="2" customFormat="1" ht="21.75" customHeight="1">
      <c r="A3831" s="8" t="s">
        <v>23</v>
      </c>
      <c r="B3831" s="8" t="s">
        <v>10</v>
      </c>
      <c r="C3831" s="9" t="str">
        <f t="shared" si="93"/>
        <v>230130</v>
      </c>
      <c r="D3831" s="9" t="str">
        <f>"230907410"</f>
        <v>230907410</v>
      </c>
      <c r="E3831" s="10">
        <v>74.45</v>
      </c>
      <c r="F3831" s="10"/>
      <c r="G3831" s="10">
        <v>73</v>
      </c>
      <c r="H3831" s="10"/>
      <c r="I3831" s="10">
        <v>73.58</v>
      </c>
    </row>
    <row r="3832" spans="1:9" s="2" customFormat="1" ht="21.75" customHeight="1">
      <c r="A3832" s="8" t="s">
        <v>23</v>
      </c>
      <c r="B3832" s="8" t="s">
        <v>10</v>
      </c>
      <c r="C3832" s="9" t="str">
        <f t="shared" si="93"/>
        <v>230130</v>
      </c>
      <c r="D3832" s="9" t="str">
        <f>"230907623"</f>
        <v>230907623</v>
      </c>
      <c r="E3832" s="10">
        <v>76.64</v>
      </c>
      <c r="F3832" s="10"/>
      <c r="G3832" s="10">
        <v>71.5</v>
      </c>
      <c r="H3832" s="10"/>
      <c r="I3832" s="10">
        <v>73.56</v>
      </c>
    </row>
    <row r="3833" spans="1:9" s="3" customFormat="1" ht="21.75" customHeight="1">
      <c r="A3833" s="8" t="s">
        <v>23</v>
      </c>
      <c r="B3833" s="8" t="s">
        <v>10</v>
      </c>
      <c r="C3833" s="9" t="str">
        <f t="shared" si="93"/>
        <v>230130</v>
      </c>
      <c r="D3833" s="9" t="str">
        <f>"230907226"</f>
        <v>230907226</v>
      </c>
      <c r="E3833" s="10">
        <v>75.849999999999994</v>
      </c>
      <c r="F3833" s="10"/>
      <c r="G3833" s="10">
        <v>72</v>
      </c>
      <c r="H3833" s="10"/>
      <c r="I3833" s="10">
        <v>73.540000000000006</v>
      </c>
    </row>
    <row r="3834" spans="1:9" s="2" customFormat="1" ht="21.75" customHeight="1">
      <c r="A3834" s="8" t="s">
        <v>23</v>
      </c>
      <c r="B3834" s="8" t="s">
        <v>10</v>
      </c>
      <c r="C3834" s="9" t="str">
        <f t="shared" ref="C3834:C3897" si="94">"230130"</f>
        <v>230130</v>
      </c>
      <c r="D3834" s="9" t="str">
        <f>"230907506"</f>
        <v>230907506</v>
      </c>
      <c r="E3834" s="10">
        <v>77.349999999999994</v>
      </c>
      <c r="F3834" s="10"/>
      <c r="G3834" s="10">
        <v>71</v>
      </c>
      <c r="H3834" s="10"/>
      <c r="I3834" s="10">
        <v>73.540000000000006</v>
      </c>
    </row>
    <row r="3835" spans="1:9" s="3" customFormat="1" ht="21.75" customHeight="1">
      <c r="A3835" s="8" t="s">
        <v>23</v>
      </c>
      <c r="B3835" s="8" t="s">
        <v>10</v>
      </c>
      <c r="C3835" s="9" t="str">
        <f t="shared" si="94"/>
        <v>230130</v>
      </c>
      <c r="D3835" s="9" t="str">
        <f>"230907303"</f>
        <v>230907303</v>
      </c>
      <c r="E3835" s="10">
        <v>75.709999999999994</v>
      </c>
      <c r="F3835" s="10"/>
      <c r="G3835" s="10">
        <v>72</v>
      </c>
      <c r="H3835" s="10"/>
      <c r="I3835" s="10">
        <v>73.48</v>
      </c>
    </row>
    <row r="3836" spans="1:9" s="2" customFormat="1" ht="21.75" customHeight="1">
      <c r="A3836" s="8" t="s">
        <v>23</v>
      </c>
      <c r="B3836" s="8" t="s">
        <v>10</v>
      </c>
      <c r="C3836" s="9" t="str">
        <f t="shared" si="94"/>
        <v>230130</v>
      </c>
      <c r="D3836" s="9" t="str">
        <f>"230907707"</f>
        <v>230907707</v>
      </c>
      <c r="E3836" s="10">
        <v>65.72</v>
      </c>
      <c r="F3836" s="10"/>
      <c r="G3836" s="10">
        <v>78.5</v>
      </c>
      <c r="H3836" s="10"/>
      <c r="I3836" s="10">
        <v>73.39</v>
      </c>
    </row>
    <row r="3837" spans="1:9" s="2" customFormat="1" ht="21.75" customHeight="1">
      <c r="A3837" s="8" t="s">
        <v>23</v>
      </c>
      <c r="B3837" s="8" t="s">
        <v>10</v>
      </c>
      <c r="C3837" s="9" t="str">
        <f t="shared" si="94"/>
        <v>230130</v>
      </c>
      <c r="D3837" s="9" t="str">
        <f>"230907201"</f>
        <v>230907201</v>
      </c>
      <c r="E3837" s="10">
        <v>70.19</v>
      </c>
      <c r="F3837" s="10"/>
      <c r="G3837" s="10">
        <v>75.5</v>
      </c>
      <c r="H3837" s="10"/>
      <c r="I3837" s="10">
        <v>73.38</v>
      </c>
    </row>
    <row r="3838" spans="1:9" s="2" customFormat="1" ht="21.75" customHeight="1">
      <c r="A3838" s="8" t="s">
        <v>23</v>
      </c>
      <c r="B3838" s="8" t="s">
        <v>10</v>
      </c>
      <c r="C3838" s="9" t="str">
        <f t="shared" si="94"/>
        <v>230130</v>
      </c>
      <c r="D3838" s="9" t="str">
        <f>"230907608"</f>
        <v>230907608</v>
      </c>
      <c r="E3838" s="10">
        <v>83.46</v>
      </c>
      <c r="F3838" s="10"/>
      <c r="G3838" s="10">
        <v>66.5</v>
      </c>
      <c r="H3838" s="10"/>
      <c r="I3838" s="10">
        <v>73.28</v>
      </c>
    </row>
    <row r="3839" spans="1:9" s="3" customFormat="1" ht="21.75" customHeight="1">
      <c r="A3839" s="8" t="s">
        <v>23</v>
      </c>
      <c r="B3839" s="8" t="s">
        <v>10</v>
      </c>
      <c r="C3839" s="9" t="str">
        <f t="shared" si="94"/>
        <v>230130</v>
      </c>
      <c r="D3839" s="9" t="str">
        <f>"230907609"</f>
        <v>230907609</v>
      </c>
      <c r="E3839" s="10">
        <v>76.67</v>
      </c>
      <c r="F3839" s="10"/>
      <c r="G3839" s="10">
        <v>71</v>
      </c>
      <c r="H3839" s="10"/>
      <c r="I3839" s="10">
        <v>73.27</v>
      </c>
    </row>
    <row r="3840" spans="1:9" s="2" customFormat="1" ht="21.75" customHeight="1">
      <c r="A3840" s="8" t="s">
        <v>23</v>
      </c>
      <c r="B3840" s="8" t="s">
        <v>10</v>
      </c>
      <c r="C3840" s="9" t="str">
        <f t="shared" si="94"/>
        <v>230130</v>
      </c>
      <c r="D3840" s="9" t="str">
        <f>"230907708"</f>
        <v>230907708</v>
      </c>
      <c r="E3840" s="10">
        <v>69.17</v>
      </c>
      <c r="F3840" s="10"/>
      <c r="G3840" s="10">
        <v>76</v>
      </c>
      <c r="H3840" s="10"/>
      <c r="I3840" s="10">
        <v>73.27</v>
      </c>
    </row>
    <row r="3841" spans="1:9" s="2" customFormat="1" ht="21.75" customHeight="1">
      <c r="A3841" s="8" t="s">
        <v>23</v>
      </c>
      <c r="B3841" s="8" t="s">
        <v>10</v>
      </c>
      <c r="C3841" s="9" t="str">
        <f t="shared" si="94"/>
        <v>230130</v>
      </c>
      <c r="D3841" s="9" t="str">
        <f>"230907307"</f>
        <v>230907307</v>
      </c>
      <c r="E3841" s="10">
        <v>73.31</v>
      </c>
      <c r="F3841" s="10"/>
      <c r="G3841" s="10">
        <v>73</v>
      </c>
      <c r="H3841" s="10"/>
      <c r="I3841" s="10">
        <v>73.12</v>
      </c>
    </row>
    <row r="3842" spans="1:9" s="2" customFormat="1" ht="21.75" customHeight="1">
      <c r="A3842" s="8" t="s">
        <v>23</v>
      </c>
      <c r="B3842" s="8" t="s">
        <v>10</v>
      </c>
      <c r="C3842" s="9" t="str">
        <f t="shared" si="94"/>
        <v>230130</v>
      </c>
      <c r="D3842" s="9" t="str">
        <f>"230907910"</f>
        <v>230907910</v>
      </c>
      <c r="E3842" s="10">
        <v>74.59</v>
      </c>
      <c r="F3842" s="10"/>
      <c r="G3842" s="10">
        <v>72</v>
      </c>
      <c r="H3842" s="10"/>
      <c r="I3842" s="10">
        <v>73.040000000000006</v>
      </c>
    </row>
    <row r="3843" spans="1:9" s="2" customFormat="1" ht="21.75" customHeight="1">
      <c r="A3843" s="8" t="s">
        <v>23</v>
      </c>
      <c r="B3843" s="8" t="s">
        <v>10</v>
      </c>
      <c r="C3843" s="9" t="str">
        <f t="shared" si="94"/>
        <v>230130</v>
      </c>
      <c r="D3843" s="9" t="str">
        <f>"230907915"</f>
        <v>230907915</v>
      </c>
      <c r="E3843" s="10">
        <v>76.760000000000005</v>
      </c>
      <c r="F3843" s="10"/>
      <c r="G3843" s="10">
        <v>70.5</v>
      </c>
      <c r="H3843" s="10"/>
      <c r="I3843" s="10">
        <v>73</v>
      </c>
    </row>
    <row r="3844" spans="1:9" s="2" customFormat="1" ht="21.75" customHeight="1">
      <c r="A3844" s="8" t="s">
        <v>23</v>
      </c>
      <c r="B3844" s="8" t="s">
        <v>10</v>
      </c>
      <c r="C3844" s="9" t="str">
        <f t="shared" si="94"/>
        <v>230130</v>
      </c>
      <c r="D3844" s="9" t="str">
        <f>"230907223"</f>
        <v>230907223</v>
      </c>
      <c r="E3844" s="10">
        <v>67.569999999999993</v>
      </c>
      <c r="F3844" s="10"/>
      <c r="G3844" s="10">
        <v>76.5</v>
      </c>
      <c r="H3844" s="10"/>
      <c r="I3844" s="10">
        <v>72.930000000000007</v>
      </c>
    </row>
    <row r="3845" spans="1:9" s="3" customFormat="1" ht="21.75" customHeight="1">
      <c r="A3845" s="8" t="s">
        <v>23</v>
      </c>
      <c r="B3845" s="8" t="s">
        <v>10</v>
      </c>
      <c r="C3845" s="9" t="str">
        <f t="shared" si="94"/>
        <v>230130</v>
      </c>
      <c r="D3845" s="9" t="str">
        <f>"230907913"</f>
        <v>230907913</v>
      </c>
      <c r="E3845" s="10">
        <v>72.739999999999995</v>
      </c>
      <c r="F3845" s="10"/>
      <c r="G3845" s="10">
        <v>73</v>
      </c>
      <c r="H3845" s="10"/>
      <c r="I3845" s="10">
        <v>72.900000000000006</v>
      </c>
    </row>
    <row r="3846" spans="1:9" s="2" customFormat="1" ht="21.75" customHeight="1">
      <c r="A3846" s="8" t="s">
        <v>23</v>
      </c>
      <c r="B3846" s="8" t="s">
        <v>10</v>
      </c>
      <c r="C3846" s="9" t="str">
        <f t="shared" si="94"/>
        <v>230130</v>
      </c>
      <c r="D3846" s="9" t="str">
        <f>"230907413"</f>
        <v>230907413</v>
      </c>
      <c r="E3846" s="10">
        <v>71.94</v>
      </c>
      <c r="F3846" s="10"/>
      <c r="G3846" s="10">
        <v>73.5</v>
      </c>
      <c r="H3846" s="10"/>
      <c r="I3846" s="10">
        <v>72.88</v>
      </c>
    </row>
    <row r="3847" spans="1:9" s="3" customFormat="1" ht="21.75" customHeight="1">
      <c r="A3847" s="8" t="s">
        <v>23</v>
      </c>
      <c r="B3847" s="8" t="s">
        <v>10</v>
      </c>
      <c r="C3847" s="9" t="str">
        <f t="shared" si="94"/>
        <v>230130</v>
      </c>
      <c r="D3847" s="9" t="str">
        <f>"230907607"</f>
        <v>230907607</v>
      </c>
      <c r="E3847" s="10">
        <v>76.42</v>
      </c>
      <c r="F3847" s="10"/>
      <c r="G3847" s="10">
        <v>70.5</v>
      </c>
      <c r="H3847" s="10"/>
      <c r="I3847" s="10">
        <v>72.87</v>
      </c>
    </row>
    <row r="3848" spans="1:9" s="3" customFormat="1" ht="21.75" customHeight="1">
      <c r="A3848" s="8" t="s">
        <v>23</v>
      </c>
      <c r="B3848" s="8" t="s">
        <v>10</v>
      </c>
      <c r="C3848" s="9" t="str">
        <f t="shared" si="94"/>
        <v>230130</v>
      </c>
      <c r="D3848" s="9" t="str">
        <f>"230907806"</f>
        <v>230907806</v>
      </c>
      <c r="E3848" s="10">
        <v>66.64</v>
      </c>
      <c r="F3848" s="10"/>
      <c r="G3848" s="10">
        <v>77</v>
      </c>
      <c r="H3848" s="10"/>
      <c r="I3848" s="10">
        <v>72.86</v>
      </c>
    </row>
    <row r="3849" spans="1:9" s="2" customFormat="1" ht="21.75" customHeight="1">
      <c r="A3849" s="8" t="s">
        <v>23</v>
      </c>
      <c r="B3849" s="8" t="s">
        <v>10</v>
      </c>
      <c r="C3849" s="9" t="str">
        <f t="shared" si="94"/>
        <v>230130</v>
      </c>
      <c r="D3849" s="9" t="str">
        <f>"230907525"</f>
        <v>230907525</v>
      </c>
      <c r="E3849" s="10">
        <v>68.13</v>
      </c>
      <c r="F3849" s="10"/>
      <c r="G3849" s="10">
        <v>76</v>
      </c>
      <c r="H3849" s="10"/>
      <c r="I3849" s="10">
        <v>72.849999999999994</v>
      </c>
    </row>
    <row r="3850" spans="1:9" s="2" customFormat="1" ht="21.75" customHeight="1">
      <c r="A3850" s="8" t="s">
        <v>23</v>
      </c>
      <c r="B3850" s="8" t="s">
        <v>10</v>
      </c>
      <c r="C3850" s="9" t="str">
        <f t="shared" si="94"/>
        <v>230130</v>
      </c>
      <c r="D3850" s="9" t="str">
        <f>"230907302"</f>
        <v>230907302</v>
      </c>
      <c r="E3850" s="10">
        <v>75.48</v>
      </c>
      <c r="F3850" s="10"/>
      <c r="G3850" s="10">
        <v>71</v>
      </c>
      <c r="H3850" s="10"/>
      <c r="I3850" s="10">
        <v>72.790000000000006</v>
      </c>
    </row>
    <row r="3851" spans="1:9" s="2" customFormat="1" ht="21.75" customHeight="1">
      <c r="A3851" s="8" t="s">
        <v>23</v>
      </c>
      <c r="B3851" s="8" t="s">
        <v>10</v>
      </c>
      <c r="C3851" s="9" t="str">
        <f t="shared" si="94"/>
        <v>230130</v>
      </c>
      <c r="D3851" s="9" t="str">
        <f>"230907903"</f>
        <v>230907903</v>
      </c>
      <c r="E3851" s="10">
        <v>67.87</v>
      </c>
      <c r="F3851" s="10"/>
      <c r="G3851" s="10">
        <v>76</v>
      </c>
      <c r="H3851" s="10"/>
      <c r="I3851" s="10">
        <v>72.75</v>
      </c>
    </row>
    <row r="3852" spans="1:9" s="2" customFormat="1" ht="21.75" customHeight="1">
      <c r="A3852" s="8" t="s">
        <v>23</v>
      </c>
      <c r="B3852" s="8" t="s">
        <v>10</v>
      </c>
      <c r="C3852" s="9" t="str">
        <f t="shared" si="94"/>
        <v>230130</v>
      </c>
      <c r="D3852" s="9" t="str">
        <f>"230907310"</f>
        <v>230907310</v>
      </c>
      <c r="E3852" s="10">
        <v>64.58</v>
      </c>
      <c r="F3852" s="10"/>
      <c r="G3852" s="10">
        <v>78</v>
      </c>
      <c r="H3852" s="10"/>
      <c r="I3852" s="10">
        <v>72.63</v>
      </c>
    </row>
    <row r="3853" spans="1:9" s="3" customFormat="1" ht="21.75" customHeight="1">
      <c r="A3853" s="8" t="s">
        <v>23</v>
      </c>
      <c r="B3853" s="8" t="s">
        <v>10</v>
      </c>
      <c r="C3853" s="9" t="str">
        <f t="shared" si="94"/>
        <v>230130</v>
      </c>
      <c r="D3853" s="9" t="str">
        <f>"230907622"</f>
        <v>230907622</v>
      </c>
      <c r="E3853" s="10">
        <v>84.01</v>
      </c>
      <c r="F3853" s="10"/>
      <c r="G3853" s="10">
        <v>65</v>
      </c>
      <c r="H3853" s="10"/>
      <c r="I3853" s="10">
        <v>72.599999999999994</v>
      </c>
    </row>
    <row r="3854" spans="1:9" s="3" customFormat="1" ht="21.75" customHeight="1">
      <c r="A3854" s="8" t="s">
        <v>23</v>
      </c>
      <c r="B3854" s="8" t="s">
        <v>10</v>
      </c>
      <c r="C3854" s="9" t="str">
        <f t="shared" si="94"/>
        <v>230130</v>
      </c>
      <c r="D3854" s="9" t="str">
        <f>"230907926"</f>
        <v>230907926</v>
      </c>
      <c r="E3854" s="10">
        <v>71.22</v>
      </c>
      <c r="F3854" s="10"/>
      <c r="G3854" s="10">
        <v>73.5</v>
      </c>
      <c r="H3854" s="10"/>
      <c r="I3854" s="10">
        <v>72.59</v>
      </c>
    </row>
    <row r="3855" spans="1:9" s="3" customFormat="1" ht="21.75" customHeight="1">
      <c r="A3855" s="8" t="s">
        <v>23</v>
      </c>
      <c r="B3855" s="8" t="s">
        <v>10</v>
      </c>
      <c r="C3855" s="9" t="str">
        <f t="shared" si="94"/>
        <v>230130</v>
      </c>
      <c r="D3855" s="9" t="str">
        <f>"230907208"</f>
        <v>230907208</v>
      </c>
      <c r="E3855" s="10">
        <v>73.88</v>
      </c>
      <c r="F3855" s="10"/>
      <c r="G3855" s="10">
        <v>71.5</v>
      </c>
      <c r="H3855" s="10"/>
      <c r="I3855" s="10">
        <v>72.45</v>
      </c>
    </row>
    <row r="3856" spans="1:9" s="2" customFormat="1" ht="21.75" customHeight="1">
      <c r="A3856" s="8" t="s">
        <v>23</v>
      </c>
      <c r="B3856" s="8" t="s">
        <v>10</v>
      </c>
      <c r="C3856" s="9" t="str">
        <f t="shared" si="94"/>
        <v>230130</v>
      </c>
      <c r="D3856" s="9" t="str">
        <f>"230907204"</f>
        <v>230907204</v>
      </c>
      <c r="E3856" s="10">
        <v>74.58</v>
      </c>
      <c r="F3856" s="10"/>
      <c r="G3856" s="10">
        <v>71</v>
      </c>
      <c r="H3856" s="10"/>
      <c r="I3856" s="10">
        <v>72.430000000000007</v>
      </c>
    </row>
    <row r="3857" spans="1:9" s="3" customFormat="1" ht="21.75" customHeight="1">
      <c r="A3857" s="8" t="s">
        <v>23</v>
      </c>
      <c r="B3857" s="8" t="s">
        <v>10</v>
      </c>
      <c r="C3857" s="9" t="str">
        <f t="shared" si="94"/>
        <v>230130</v>
      </c>
      <c r="D3857" s="9" t="str">
        <f>"230907328"</f>
        <v>230907328</v>
      </c>
      <c r="E3857" s="10">
        <v>74.58</v>
      </c>
      <c r="F3857" s="10"/>
      <c r="G3857" s="10">
        <v>71</v>
      </c>
      <c r="H3857" s="10"/>
      <c r="I3857" s="10">
        <v>72.430000000000007</v>
      </c>
    </row>
    <row r="3858" spans="1:9" s="2" customFormat="1" ht="21.75" customHeight="1">
      <c r="A3858" s="8" t="s">
        <v>23</v>
      </c>
      <c r="B3858" s="8" t="s">
        <v>10</v>
      </c>
      <c r="C3858" s="9" t="str">
        <f t="shared" si="94"/>
        <v>230130</v>
      </c>
      <c r="D3858" s="9" t="str">
        <f>"230907224"</f>
        <v>230907224</v>
      </c>
      <c r="E3858" s="10">
        <v>66.290000000000006</v>
      </c>
      <c r="F3858" s="10"/>
      <c r="G3858" s="10">
        <v>76.5</v>
      </c>
      <c r="H3858" s="10"/>
      <c r="I3858" s="10">
        <v>72.42</v>
      </c>
    </row>
    <row r="3859" spans="1:9" s="3" customFormat="1" ht="21.75" customHeight="1">
      <c r="A3859" s="8" t="s">
        <v>23</v>
      </c>
      <c r="B3859" s="8" t="s">
        <v>10</v>
      </c>
      <c r="C3859" s="9" t="str">
        <f t="shared" si="94"/>
        <v>230130</v>
      </c>
      <c r="D3859" s="9" t="str">
        <f>"230908013"</f>
        <v>230908013</v>
      </c>
      <c r="E3859" s="10">
        <v>74.92</v>
      </c>
      <c r="F3859" s="10"/>
      <c r="G3859" s="10">
        <v>70.5</v>
      </c>
      <c r="H3859" s="10"/>
      <c r="I3859" s="10">
        <v>72.27</v>
      </c>
    </row>
    <row r="3860" spans="1:9" s="3" customFormat="1" ht="21.75" customHeight="1">
      <c r="A3860" s="8" t="s">
        <v>23</v>
      </c>
      <c r="B3860" s="8" t="s">
        <v>10</v>
      </c>
      <c r="C3860" s="9" t="str">
        <f t="shared" si="94"/>
        <v>230130</v>
      </c>
      <c r="D3860" s="9" t="str">
        <f>"230907510"</f>
        <v>230907510</v>
      </c>
      <c r="E3860" s="10">
        <v>76.98</v>
      </c>
      <c r="F3860" s="10"/>
      <c r="G3860" s="10">
        <v>69</v>
      </c>
      <c r="H3860" s="10"/>
      <c r="I3860" s="10">
        <v>72.19</v>
      </c>
    </row>
    <row r="3861" spans="1:9" s="2" customFormat="1" ht="21.75" customHeight="1">
      <c r="A3861" s="8" t="s">
        <v>23</v>
      </c>
      <c r="B3861" s="8" t="s">
        <v>10</v>
      </c>
      <c r="C3861" s="9" t="str">
        <f t="shared" si="94"/>
        <v>230130</v>
      </c>
      <c r="D3861" s="9" t="str">
        <f>"230908007"</f>
        <v>230908007</v>
      </c>
      <c r="E3861" s="10">
        <v>76.19</v>
      </c>
      <c r="F3861" s="10"/>
      <c r="G3861" s="10">
        <v>69.5</v>
      </c>
      <c r="H3861" s="10"/>
      <c r="I3861" s="10">
        <v>72.180000000000007</v>
      </c>
    </row>
    <row r="3862" spans="1:9" s="3" customFormat="1" ht="21.75" customHeight="1">
      <c r="A3862" s="8" t="s">
        <v>23</v>
      </c>
      <c r="B3862" s="8" t="s">
        <v>10</v>
      </c>
      <c r="C3862" s="9" t="str">
        <f t="shared" si="94"/>
        <v>230130</v>
      </c>
      <c r="D3862" s="9" t="str">
        <f>"230907103"</f>
        <v>230907103</v>
      </c>
      <c r="E3862" s="10">
        <v>67.91</v>
      </c>
      <c r="F3862" s="10"/>
      <c r="G3862" s="10">
        <v>75</v>
      </c>
      <c r="H3862" s="10"/>
      <c r="I3862" s="10">
        <v>72.16</v>
      </c>
    </row>
    <row r="3863" spans="1:9" s="2" customFormat="1" ht="21.75" customHeight="1">
      <c r="A3863" s="8" t="s">
        <v>23</v>
      </c>
      <c r="B3863" s="8" t="s">
        <v>10</v>
      </c>
      <c r="C3863" s="9" t="str">
        <f t="shared" si="94"/>
        <v>230130</v>
      </c>
      <c r="D3863" s="9" t="str">
        <f>"230907618"</f>
        <v>230907618</v>
      </c>
      <c r="E3863" s="10">
        <v>67.900000000000006</v>
      </c>
      <c r="F3863" s="10"/>
      <c r="G3863" s="10">
        <v>75</v>
      </c>
      <c r="H3863" s="10"/>
      <c r="I3863" s="10">
        <v>72.16</v>
      </c>
    </row>
    <row r="3864" spans="1:9" s="2" customFormat="1" ht="21.75" customHeight="1">
      <c r="A3864" s="8" t="s">
        <v>23</v>
      </c>
      <c r="B3864" s="8" t="s">
        <v>10</v>
      </c>
      <c r="C3864" s="9" t="str">
        <f t="shared" si="94"/>
        <v>230130</v>
      </c>
      <c r="D3864" s="9" t="str">
        <f>"230907124"</f>
        <v>230907124</v>
      </c>
      <c r="E3864" s="10">
        <v>62.61</v>
      </c>
      <c r="F3864" s="10"/>
      <c r="G3864" s="10">
        <v>78.5</v>
      </c>
      <c r="H3864" s="10"/>
      <c r="I3864" s="10">
        <v>72.14</v>
      </c>
    </row>
    <row r="3865" spans="1:9" s="3" customFormat="1" ht="21.75" customHeight="1">
      <c r="A3865" s="8" t="s">
        <v>23</v>
      </c>
      <c r="B3865" s="8" t="s">
        <v>10</v>
      </c>
      <c r="C3865" s="9" t="str">
        <f t="shared" si="94"/>
        <v>230130</v>
      </c>
      <c r="D3865" s="9" t="str">
        <f>"230907515"</f>
        <v>230907515</v>
      </c>
      <c r="E3865" s="10">
        <v>71.58</v>
      </c>
      <c r="F3865" s="10"/>
      <c r="G3865" s="10">
        <v>72.5</v>
      </c>
      <c r="H3865" s="10"/>
      <c r="I3865" s="10">
        <v>72.13</v>
      </c>
    </row>
    <row r="3866" spans="1:9" s="2" customFormat="1" ht="21.75" customHeight="1">
      <c r="A3866" s="8" t="s">
        <v>23</v>
      </c>
      <c r="B3866" s="8" t="s">
        <v>10</v>
      </c>
      <c r="C3866" s="9" t="str">
        <f t="shared" si="94"/>
        <v>230130</v>
      </c>
      <c r="D3866" s="9" t="str">
        <f>"230907612"</f>
        <v>230907612</v>
      </c>
      <c r="E3866" s="10">
        <v>63.89</v>
      </c>
      <c r="F3866" s="10"/>
      <c r="G3866" s="10">
        <v>77.5</v>
      </c>
      <c r="H3866" s="10"/>
      <c r="I3866" s="10">
        <v>72.06</v>
      </c>
    </row>
    <row r="3867" spans="1:9" s="2" customFormat="1" ht="21.75" customHeight="1">
      <c r="A3867" s="8" t="s">
        <v>23</v>
      </c>
      <c r="B3867" s="8" t="s">
        <v>10</v>
      </c>
      <c r="C3867" s="9" t="str">
        <f t="shared" si="94"/>
        <v>230130</v>
      </c>
      <c r="D3867" s="9" t="str">
        <f>"230907617"</f>
        <v>230907617</v>
      </c>
      <c r="E3867" s="10">
        <v>76.63</v>
      </c>
      <c r="F3867" s="10"/>
      <c r="G3867" s="10">
        <v>69</v>
      </c>
      <c r="H3867" s="10"/>
      <c r="I3867" s="10">
        <v>72.05</v>
      </c>
    </row>
    <row r="3868" spans="1:9" s="3" customFormat="1" ht="21.75" customHeight="1">
      <c r="A3868" s="8" t="s">
        <v>23</v>
      </c>
      <c r="B3868" s="8" t="s">
        <v>10</v>
      </c>
      <c r="C3868" s="9" t="str">
        <f t="shared" si="94"/>
        <v>230130</v>
      </c>
      <c r="D3868" s="9" t="str">
        <f>"230908017"</f>
        <v>230908017</v>
      </c>
      <c r="E3868" s="10">
        <v>78.849999999999994</v>
      </c>
      <c r="F3868" s="10"/>
      <c r="G3868" s="10">
        <v>67.5</v>
      </c>
      <c r="H3868" s="10"/>
      <c r="I3868" s="10">
        <v>72.040000000000006</v>
      </c>
    </row>
    <row r="3869" spans="1:9" s="3" customFormat="1" ht="21.75" customHeight="1">
      <c r="A3869" s="8" t="s">
        <v>23</v>
      </c>
      <c r="B3869" s="8" t="s">
        <v>10</v>
      </c>
      <c r="C3869" s="9" t="str">
        <f t="shared" si="94"/>
        <v>230130</v>
      </c>
      <c r="D3869" s="9" t="str">
        <f>"230907330"</f>
        <v>230907330</v>
      </c>
      <c r="E3869" s="10">
        <v>67.569999999999993</v>
      </c>
      <c r="F3869" s="10"/>
      <c r="G3869" s="10">
        <v>75</v>
      </c>
      <c r="H3869" s="10"/>
      <c r="I3869" s="10">
        <v>72.03</v>
      </c>
    </row>
    <row r="3870" spans="1:9" s="2" customFormat="1" ht="21.75" customHeight="1">
      <c r="A3870" s="8" t="s">
        <v>23</v>
      </c>
      <c r="B3870" s="8" t="s">
        <v>10</v>
      </c>
      <c r="C3870" s="9" t="str">
        <f t="shared" si="94"/>
        <v>230130</v>
      </c>
      <c r="D3870" s="9" t="str">
        <f>"230907916"</f>
        <v>230907916</v>
      </c>
      <c r="E3870" s="10">
        <v>65.25</v>
      </c>
      <c r="F3870" s="10"/>
      <c r="G3870" s="10">
        <v>76.5</v>
      </c>
      <c r="H3870" s="10"/>
      <c r="I3870" s="10">
        <v>72</v>
      </c>
    </row>
    <row r="3871" spans="1:9" s="2" customFormat="1" ht="21.75" customHeight="1">
      <c r="A3871" s="8" t="s">
        <v>23</v>
      </c>
      <c r="B3871" s="8" t="s">
        <v>10</v>
      </c>
      <c r="C3871" s="9" t="str">
        <f t="shared" si="94"/>
        <v>230130</v>
      </c>
      <c r="D3871" s="9" t="str">
        <f>"230907312"</f>
        <v>230907312</v>
      </c>
      <c r="E3871" s="10">
        <v>63.65</v>
      </c>
      <c r="F3871" s="10"/>
      <c r="G3871" s="10">
        <v>77.5</v>
      </c>
      <c r="H3871" s="10"/>
      <c r="I3871" s="10">
        <v>71.959999999999994</v>
      </c>
    </row>
    <row r="3872" spans="1:9" s="2" customFormat="1" ht="21.75" customHeight="1">
      <c r="A3872" s="8" t="s">
        <v>23</v>
      </c>
      <c r="B3872" s="8" t="s">
        <v>10</v>
      </c>
      <c r="C3872" s="9" t="str">
        <f t="shared" si="94"/>
        <v>230130</v>
      </c>
      <c r="D3872" s="9" t="str">
        <f>"230907210"</f>
        <v>230907210</v>
      </c>
      <c r="E3872" s="10">
        <v>73.89</v>
      </c>
      <c r="F3872" s="10"/>
      <c r="G3872" s="10">
        <v>70.5</v>
      </c>
      <c r="H3872" s="10"/>
      <c r="I3872" s="10">
        <v>71.86</v>
      </c>
    </row>
    <row r="3873" spans="1:9" s="2" customFormat="1" ht="21.75" customHeight="1">
      <c r="A3873" s="8" t="s">
        <v>23</v>
      </c>
      <c r="B3873" s="8" t="s">
        <v>10</v>
      </c>
      <c r="C3873" s="9" t="str">
        <f t="shared" si="94"/>
        <v>230130</v>
      </c>
      <c r="D3873" s="9" t="str">
        <f>"230908006"</f>
        <v>230908006</v>
      </c>
      <c r="E3873" s="10">
        <v>70.08</v>
      </c>
      <c r="F3873" s="10"/>
      <c r="G3873" s="10">
        <v>73</v>
      </c>
      <c r="H3873" s="10"/>
      <c r="I3873" s="10">
        <v>71.83</v>
      </c>
    </row>
    <row r="3874" spans="1:9" s="3" customFormat="1" ht="21.75" customHeight="1">
      <c r="A3874" s="8" t="s">
        <v>23</v>
      </c>
      <c r="B3874" s="8" t="s">
        <v>10</v>
      </c>
      <c r="C3874" s="9" t="str">
        <f t="shared" si="94"/>
        <v>230130</v>
      </c>
      <c r="D3874" s="9" t="str">
        <f>"230907317"</f>
        <v>230907317</v>
      </c>
      <c r="E3874" s="10">
        <v>69.05</v>
      </c>
      <c r="F3874" s="10"/>
      <c r="G3874" s="10">
        <v>73.5</v>
      </c>
      <c r="H3874" s="10"/>
      <c r="I3874" s="10">
        <v>71.72</v>
      </c>
    </row>
    <row r="3875" spans="1:9" s="3" customFormat="1" ht="21.75" customHeight="1">
      <c r="A3875" s="8" t="s">
        <v>23</v>
      </c>
      <c r="B3875" s="8" t="s">
        <v>10</v>
      </c>
      <c r="C3875" s="9" t="str">
        <f t="shared" si="94"/>
        <v>230130</v>
      </c>
      <c r="D3875" s="9" t="str">
        <f>"230907108"</f>
        <v>230907108</v>
      </c>
      <c r="E3875" s="10">
        <v>72.73</v>
      </c>
      <c r="F3875" s="10"/>
      <c r="G3875" s="10">
        <v>71</v>
      </c>
      <c r="H3875" s="10"/>
      <c r="I3875" s="10">
        <v>71.69</v>
      </c>
    </row>
    <row r="3876" spans="1:9" s="2" customFormat="1" ht="21.75" customHeight="1">
      <c r="A3876" s="8" t="s">
        <v>23</v>
      </c>
      <c r="B3876" s="8" t="s">
        <v>10</v>
      </c>
      <c r="C3876" s="9" t="str">
        <f t="shared" si="94"/>
        <v>230130</v>
      </c>
      <c r="D3876" s="9" t="str">
        <f>"230907611"</f>
        <v>230907611</v>
      </c>
      <c r="E3876" s="10">
        <v>76.430000000000007</v>
      </c>
      <c r="F3876" s="10"/>
      <c r="G3876" s="10">
        <v>68.5</v>
      </c>
      <c r="H3876" s="10"/>
      <c r="I3876" s="10">
        <v>71.67</v>
      </c>
    </row>
    <row r="3877" spans="1:9" s="2" customFormat="1" ht="21.75" customHeight="1">
      <c r="A3877" s="8" t="s">
        <v>23</v>
      </c>
      <c r="B3877" s="8" t="s">
        <v>10</v>
      </c>
      <c r="C3877" s="9" t="str">
        <f t="shared" si="94"/>
        <v>230130</v>
      </c>
      <c r="D3877" s="9" t="str">
        <f>"230907626"</f>
        <v>230907626</v>
      </c>
      <c r="E3877" s="10">
        <v>70.099999999999994</v>
      </c>
      <c r="F3877" s="10"/>
      <c r="G3877" s="10">
        <v>72.5</v>
      </c>
      <c r="H3877" s="10"/>
      <c r="I3877" s="10">
        <v>71.540000000000006</v>
      </c>
    </row>
    <row r="3878" spans="1:9" s="2" customFormat="1" ht="21.75" customHeight="1">
      <c r="A3878" s="8" t="s">
        <v>23</v>
      </c>
      <c r="B3878" s="8" t="s">
        <v>10</v>
      </c>
      <c r="C3878" s="9" t="str">
        <f t="shared" si="94"/>
        <v>230130</v>
      </c>
      <c r="D3878" s="9" t="str">
        <f>"230907105"</f>
        <v>230907105</v>
      </c>
      <c r="E3878" s="10">
        <v>68.349999999999994</v>
      </c>
      <c r="F3878" s="10"/>
      <c r="G3878" s="10">
        <v>73.5</v>
      </c>
      <c r="H3878" s="10"/>
      <c r="I3878" s="10">
        <v>71.44</v>
      </c>
    </row>
    <row r="3879" spans="1:9" s="2" customFormat="1" ht="21.75" customHeight="1">
      <c r="A3879" s="8" t="s">
        <v>23</v>
      </c>
      <c r="B3879" s="8" t="s">
        <v>10</v>
      </c>
      <c r="C3879" s="9" t="str">
        <f t="shared" si="94"/>
        <v>230130</v>
      </c>
      <c r="D3879" s="9" t="str">
        <f>"230907827"</f>
        <v>230907827</v>
      </c>
      <c r="E3879" s="10">
        <v>76.42</v>
      </c>
      <c r="F3879" s="10"/>
      <c r="G3879" s="10">
        <v>68</v>
      </c>
      <c r="H3879" s="10"/>
      <c r="I3879" s="10">
        <v>71.37</v>
      </c>
    </row>
    <row r="3880" spans="1:9" s="2" customFormat="1" ht="21.75" customHeight="1">
      <c r="A3880" s="8" t="s">
        <v>23</v>
      </c>
      <c r="B3880" s="8" t="s">
        <v>10</v>
      </c>
      <c r="C3880" s="9" t="str">
        <f t="shared" si="94"/>
        <v>230130</v>
      </c>
      <c r="D3880" s="9" t="str">
        <f>"230907826"</f>
        <v>230907826</v>
      </c>
      <c r="E3880" s="10">
        <v>69.62</v>
      </c>
      <c r="F3880" s="10"/>
      <c r="G3880" s="10">
        <v>72.5</v>
      </c>
      <c r="H3880" s="10"/>
      <c r="I3880" s="10">
        <v>71.349999999999994</v>
      </c>
    </row>
    <row r="3881" spans="1:9" s="2" customFormat="1" ht="21.75" customHeight="1">
      <c r="A3881" s="8" t="s">
        <v>23</v>
      </c>
      <c r="B3881" s="8" t="s">
        <v>10</v>
      </c>
      <c r="C3881" s="9" t="str">
        <f t="shared" si="94"/>
        <v>230130</v>
      </c>
      <c r="D3881" s="9" t="str">
        <f>"230907301"</f>
        <v>230907301</v>
      </c>
      <c r="E3881" s="10">
        <v>65.03</v>
      </c>
      <c r="F3881" s="10"/>
      <c r="G3881" s="10">
        <v>75.5</v>
      </c>
      <c r="H3881" s="10"/>
      <c r="I3881" s="10">
        <v>71.31</v>
      </c>
    </row>
    <row r="3882" spans="1:9" s="3" customFormat="1" ht="21.75" customHeight="1">
      <c r="A3882" s="8" t="s">
        <v>23</v>
      </c>
      <c r="B3882" s="8" t="s">
        <v>10</v>
      </c>
      <c r="C3882" s="9" t="str">
        <f t="shared" si="94"/>
        <v>230130</v>
      </c>
      <c r="D3882" s="9" t="str">
        <f>"230908001"</f>
        <v>230908001</v>
      </c>
      <c r="E3882" s="10">
        <v>69.39</v>
      </c>
      <c r="F3882" s="10"/>
      <c r="G3882" s="10">
        <v>72.5</v>
      </c>
      <c r="H3882" s="10"/>
      <c r="I3882" s="10">
        <v>71.260000000000005</v>
      </c>
    </row>
    <row r="3883" spans="1:9" s="2" customFormat="1" ht="21.75" customHeight="1">
      <c r="A3883" s="8" t="s">
        <v>23</v>
      </c>
      <c r="B3883" s="8" t="s">
        <v>10</v>
      </c>
      <c r="C3883" s="9" t="str">
        <f t="shared" si="94"/>
        <v>230130</v>
      </c>
      <c r="D3883" s="9" t="str">
        <f>"230907924"</f>
        <v>230907924</v>
      </c>
      <c r="E3883" s="10">
        <v>71.48</v>
      </c>
      <c r="F3883" s="10"/>
      <c r="G3883" s="10">
        <v>71</v>
      </c>
      <c r="H3883" s="10"/>
      <c r="I3883" s="10">
        <v>71.19</v>
      </c>
    </row>
    <row r="3884" spans="1:9" s="3" customFormat="1" ht="21.75" customHeight="1">
      <c r="A3884" s="8" t="s">
        <v>23</v>
      </c>
      <c r="B3884" s="8" t="s">
        <v>10</v>
      </c>
      <c r="C3884" s="9" t="str">
        <f t="shared" si="94"/>
        <v>230130</v>
      </c>
      <c r="D3884" s="9" t="str">
        <f>"230907408"</f>
        <v>230907408</v>
      </c>
      <c r="E3884" s="10">
        <v>66.63</v>
      </c>
      <c r="F3884" s="10"/>
      <c r="G3884" s="10">
        <v>74</v>
      </c>
      <c r="H3884" s="10"/>
      <c r="I3884" s="10">
        <v>71.05</v>
      </c>
    </row>
    <row r="3885" spans="1:9" s="2" customFormat="1" ht="21.75" customHeight="1">
      <c r="A3885" s="8" t="s">
        <v>23</v>
      </c>
      <c r="B3885" s="8" t="s">
        <v>10</v>
      </c>
      <c r="C3885" s="9" t="str">
        <f t="shared" si="94"/>
        <v>230130</v>
      </c>
      <c r="D3885" s="9" t="str">
        <f>"230907305"</f>
        <v>230907305</v>
      </c>
      <c r="E3885" s="10">
        <v>72.52</v>
      </c>
      <c r="F3885" s="10"/>
      <c r="G3885" s="10">
        <v>70</v>
      </c>
      <c r="H3885" s="10"/>
      <c r="I3885" s="10">
        <v>71.010000000000005</v>
      </c>
    </row>
    <row r="3886" spans="1:9" s="2" customFormat="1" ht="21.75" customHeight="1">
      <c r="A3886" s="8" t="s">
        <v>23</v>
      </c>
      <c r="B3886" s="8" t="s">
        <v>10</v>
      </c>
      <c r="C3886" s="9" t="str">
        <f t="shared" si="94"/>
        <v>230130</v>
      </c>
      <c r="D3886" s="9" t="str">
        <f>"230907720"</f>
        <v>230907720</v>
      </c>
      <c r="E3886" s="10">
        <v>72.739999999999995</v>
      </c>
      <c r="F3886" s="10"/>
      <c r="G3886" s="10">
        <v>69.5</v>
      </c>
      <c r="H3886" s="10"/>
      <c r="I3886" s="10">
        <v>70.8</v>
      </c>
    </row>
    <row r="3887" spans="1:9" s="2" customFormat="1" ht="21.75" customHeight="1">
      <c r="A3887" s="8" t="s">
        <v>23</v>
      </c>
      <c r="B3887" s="8" t="s">
        <v>10</v>
      </c>
      <c r="C3887" s="9" t="str">
        <f t="shared" si="94"/>
        <v>230130</v>
      </c>
      <c r="D3887" s="9" t="str">
        <f>"230907123"</f>
        <v>230907123</v>
      </c>
      <c r="E3887" s="10">
        <v>72.73</v>
      </c>
      <c r="F3887" s="10"/>
      <c r="G3887" s="10">
        <v>69.5</v>
      </c>
      <c r="H3887" s="10"/>
      <c r="I3887" s="10">
        <v>70.790000000000006</v>
      </c>
    </row>
    <row r="3888" spans="1:9" s="3" customFormat="1" ht="21.75" customHeight="1">
      <c r="A3888" s="8" t="s">
        <v>23</v>
      </c>
      <c r="B3888" s="8" t="s">
        <v>10</v>
      </c>
      <c r="C3888" s="9" t="str">
        <f t="shared" si="94"/>
        <v>230130</v>
      </c>
      <c r="D3888" s="9" t="str">
        <f>"230907416"</f>
        <v>230907416</v>
      </c>
      <c r="E3888" s="10">
        <v>72.16</v>
      </c>
      <c r="F3888" s="10"/>
      <c r="G3888" s="10">
        <v>69.5</v>
      </c>
      <c r="H3888" s="10"/>
      <c r="I3888" s="10">
        <v>70.56</v>
      </c>
    </row>
    <row r="3889" spans="1:9" s="3" customFormat="1" ht="21.75" customHeight="1">
      <c r="A3889" s="8" t="s">
        <v>23</v>
      </c>
      <c r="B3889" s="8" t="s">
        <v>10</v>
      </c>
      <c r="C3889" s="9" t="str">
        <f t="shared" si="94"/>
        <v>230130</v>
      </c>
      <c r="D3889" s="9" t="str">
        <f>"230907517"</f>
        <v>230907517</v>
      </c>
      <c r="E3889" s="10">
        <v>63.67</v>
      </c>
      <c r="F3889" s="10"/>
      <c r="G3889" s="10">
        <v>75</v>
      </c>
      <c r="H3889" s="10"/>
      <c r="I3889" s="10">
        <v>70.47</v>
      </c>
    </row>
    <row r="3890" spans="1:9" s="2" customFormat="1" ht="21.75" customHeight="1">
      <c r="A3890" s="8" t="s">
        <v>23</v>
      </c>
      <c r="B3890" s="8" t="s">
        <v>10</v>
      </c>
      <c r="C3890" s="9" t="str">
        <f t="shared" si="94"/>
        <v>230130</v>
      </c>
      <c r="D3890" s="9" t="str">
        <f>"230907824"</f>
        <v>230907824</v>
      </c>
      <c r="E3890" s="10">
        <v>71.92</v>
      </c>
      <c r="F3890" s="10"/>
      <c r="G3890" s="10">
        <v>69.5</v>
      </c>
      <c r="H3890" s="10"/>
      <c r="I3890" s="10">
        <v>70.47</v>
      </c>
    </row>
    <row r="3891" spans="1:9" s="2" customFormat="1" ht="21.75" customHeight="1">
      <c r="A3891" s="8" t="s">
        <v>23</v>
      </c>
      <c r="B3891" s="8" t="s">
        <v>10</v>
      </c>
      <c r="C3891" s="9" t="str">
        <f t="shared" si="94"/>
        <v>230130</v>
      </c>
      <c r="D3891" s="9" t="str">
        <f>"230908008"</f>
        <v>230908008</v>
      </c>
      <c r="E3891" s="10">
        <v>71.819999999999993</v>
      </c>
      <c r="F3891" s="10"/>
      <c r="G3891" s="10">
        <v>69.5</v>
      </c>
      <c r="H3891" s="10"/>
      <c r="I3891" s="10">
        <v>70.430000000000007</v>
      </c>
    </row>
    <row r="3892" spans="1:9" s="2" customFormat="1" ht="21.75" customHeight="1">
      <c r="A3892" s="8" t="s">
        <v>23</v>
      </c>
      <c r="B3892" s="8" t="s">
        <v>10</v>
      </c>
      <c r="C3892" s="9" t="str">
        <f t="shared" si="94"/>
        <v>230130</v>
      </c>
      <c r="D3892" s="9" t="str">
        <f>"230907117"</f>
        <v>230907117</v>
      </c>
      <c r="E3892" s="10">
        <v>71.48</v>
      </c>
      <c r="F3892" s="10"/>
      <c r="G3892" s="10">
        <v>69.5</v>
      </c>
      <c r="H3892" s="10"/>
      <c r="I3892" s="10">
        <v>70.290000000000006</v>
      </c>
    </row>
    <row r="3893" spans="1:9" s="2" customFormat="1" ht="21.75" customHeight="1">
      <c r="A3893" s="8" t="s">
        <v>23</v>
      </c>
      <c r="B3893" s="8" t="s">
        <v>10</v>
      </c>
      <c r="C3893" s="9" t="str">
        <f t="shared" si="94"/>
        <v>230130</v>
      </c>
      <c r="D3893" s="9" t="str">
        <f>"230907206"</f>
        <v>230907206</v>
      </c>
      <c r="E3893" s="10">
        <v>68.48</v>
      </c>
      <c r="F3893" s="10"/>
      <c r="G3893" s="10">
        <v>71.5</v>
      </c>
      <c r="H3893" s="10"/>
      <c r="I3893" s="10">
        <v>70.290000000000006</v>
      </c>
    </row>
    <row r="3894" spans="1:9" s="2" customFormat="1" ht="21.75" customHeight="1">
      <c r="A3894" s="8" t="s">
        <v>23</v>
      </c>
      <c r="B3894" s="8" t="s">
        <v>10</v>
      </c>
      <c r="C3894" s="9" t="str">
        <f t="shared" si="94"/>
        <v>230130</v>
      </c>
      <c r="D3894" s="9" t="str">
        <f>"230907230"</f>
        <v>230907230</v>
      </c>
      <c r="E3894" s="10">
        <v>77.45</v>
      </c>
      <c r="F3894" s="10"/>
      <c r="G3894" s="10">
        <v>65.5</v>
      </c>
      <c r="H3894" s="10"/>
      <c r="I3894" s="10">
        <v>70.28</v>
      </c>
    </row>
    <row r="3895" spans="1:9" s="3" customFormat="1" ht="21.75" customHeight="1">
      <c r="A3895" s="8" t="s">
        <v>23</v>
      </c>
      <c r="B3895" s="8" t="s">
        <v>10</v>
      </c>
      <c r="C3895" s="9" t="str">
        <f t="shared" si="94"/>
        <v>230130</v>
      </c>
      <c r="D3895" s="9" t="str">
        <f>"230907511"</f>
        <v>230907511</v>
      </c>
      <c r="E3895" s="10">
        <v>69.05</v>
      </c>
      <c r="F3895" s="10"/>
      <c r="G3895" s="10">
        <v>71</v>
      </c>
      <c r="H3895" s="10"/>
      <c r="I3895" s="10">
        <v>70.22</v>
      </c>
    </row>
    <row r="3896" spans="1:9" s="2" customFormat="1" ht="21.75" customHeight="1">
      <c r="A3896" s="8" t="s">
        <v>23</v>
      </c>
      <c r="B3896" s="8" t="s">
        <v>10</v>
      </c>
      <c r="C3896" s="9" t="str">
        <f t="shared" si="94"/>
        <v>230130</v>
      </c>
      <c r="D3896" s="9" t="str">
        <f>"230907220"</f>
        <v>230907220</v>
      </c>
      <c r="E3896" s="10">
        <v>62.15</v>
      </c>
      <c r="F3896" s="10"/>
      <c r="G3896" s="10">
        <v>75.5</v>
      </c>
      <c r="H3896" s="10"/>
      <c r="I3896" s="10">
        <v>70.16</v>
      </c>
    </row>
    <row r="3897" spans="1:9" s="3" customFormat="1" ht="21.75" customHeight="1">
      <c r="A3897" s="8" t="s">
        <v>23</v>
      </c>
      <c r="B3897" s="8" t="s">
        <v>10</v>
      </c>
      <c r="C3897" s="9" t="str">
        <f t="shared" si="94"/>
        <v>230130</v>
      </c>
      <c r="D3897" s="9" t="str">
        <f>"230907810"</f>
        <v>230907810</v>
      </c>
      <c r="E3897" s="10">
        <v>66.64</v>
      </c>
      <c r="F3897" s="10"/>
      <c r="G3897" s="10">
        <v>72.5</v>
      </c>
      <c r="H3897" s="10"/>
      <c r="I3897" s="10">
        <v>70.16</v>
      </c>
    </row>
    <row r="3898" spans="1:9" s="2" customFormat="1" ht="21.75" customHeight="1">
      <c r="A3898" s="8" t="s">
        <v>23</v>
      </c>
      <c r="B3898" s="8" t="s">
        <v>10</v>
      </c>
      <c r="C3898" s="9" t="str">
        <f t="shared" ref="C3898:C3961" si="95">"230130"</f>
        <v>230130</v>
      </c>
      <c r="D3898" s="9" t="str">
        <f>"230907321"</f>
        <v>230907321</v>
      </c>
      <c r="E3898" s="10">
        <v>69.39</v>
      </c>
      <c r="F3898" s="10"/>
      <c r="G3898" s="10">
        <v>70.5</v>
      </c>
      <c r="H3898" s="10"/>
      <c r="I3898" s="10">
        <v>70.06</v>
      </c>
    </row>
    <row r="3899" spans="1:9" s="3" customFormat="1" ht="21.75" customHeight="1">
      <c r="A3899" s="8" t="s">
        <v>23</v>
      </c>
      <c r="B3899" s="8" t="s">
        <v>10</v>
      </c>
      <c r="C3899" s="9" t="str">
        <f t="shared" si="95"/>
        <v>230130</v>
      </c>
      <c r="D3899" s="9" t="str">
        <f>"230907925"</f>
        <v>230907925</v>
      </c>
      <c r="E3899" s="10">
        <v>73.069999999999993</v>
      </c>
      <c r="F3899" s="10"/>
      <c r="G3899" s="10">
        <v>68</v>
      </c>
      <c r="H3899" s="10"/>
      <c r="I3899" s="10">
        <v>70.03</v>
      </c>
    </row>
    <row r="3900" spans="1:9" s="2" customFormat="1" ht="21.75" customHeight="1">
      <c r="A3900" s="8" t="s">
        <v>23</v>
      </c>
      <c r="B3900" s="8" t="s">
        <v>10</v>
      </c>
      <c r="C3900" s="9" t="str">
        <f t="shared" si="95"/>
        <v>230130</v>
      </c>
      <c r="D3900" s="9" t="str">
        <f>"230907029"</f>
        <v>230907029</v>
      </c>
      <c r="E3900" s="10">
        <v>76.64</v>
      </c>
      <c r="F3900" s="10"/>
      <c r="G3900" s="10">
        <v>65.5</v>
      </c>
      <c r="H3900" s="10"/>
      <c r="I3900" s="10">
        <v>69.959999999999994</v>
      </c>
    </row>
    <row r="3901" spans="1:9" s="2" customFormat="1" ht="21.75" customHeight="1">
      <c r="A3901" s="8" t="s">
        <v>23</v>
      </c>
      <c r="B3901" s="8" t="s">
        <v>10</v>
      </c>
      <c r="C3901" s="9" t="str">
        <f t="shared" si="95"/>
        <v>230130</v>
      </c>
      <c r="D3901" s="9" t="str">
        <f>"230908005"</f>
        <v>230908005</v>
      </c>
      <c r="E3901" s="10">
        <v>69.05</v>
      </c>
      <c r="F3901" s="10"/>
      <c r="G3901" s="10">
        <v>70.5</v>
      </c>
      <c r="H3901" s="10"/>
      <c r="I3901" s="10">
        <v>69.92</v>
      </c>
    </row>
    <row r="3902" spans="1:9" s="2" customFormat="1" ht="21.75" customHeight="1">
      <c r="A3902" s="8" t="s">
        <v>23</v>
      </c>
      <c r="B3902" s="8" t="s">
        <v>10</v>
      </c>
      <c r="C3902" s="9" t="str">
        <f t="shared" si="95"/>
        <v>230130</v>
      </c>
      <c r="D3902" s="9" t="str">
        <f>"230907802"</f>
        <v>230907802</v>
      </c>
      <c r="E3902" s="10">
        <v>65.14</v>
      </c>
      <c r="F3902" s="10"/>
      <c r="G3902" s="10">
        <v>73</v>
      </c>
      <c r="H3902" s="10"/>
      <c r="I3902" s="10">
        <v>69.86</v>
      </c>
    </row>
    <row r="3903" spans="1:9" s="2" customFormat="1" ht="21.75" customHeight="1">
      <c r="A3903" s="8" t="s">
        <v>23</v>
      </c>
      <c r="B3903" s="8" t="s">
        <v>10</v>
      </c>
      <c r="C3903" s="9" t="str">
        <f t="shared" si="95"/>
        <v>230130</v>
      </c>
      <c r="D3903" s="9" t="str">
        <f>"230907921"</f>
        <v>230907921</v>
      </c>
      <c r="E3903" s="10">
        <v>71.13</v>
      </c>
      <c r="F3903" s="10"/>
      <c r="G3903" s="10">
        <v>69</v>
      </c>
      <c r="H3903" s="10"/>
      <c r="I3903" s="10">
        <v>69.849999999999994</v>
      </c>
    </row>
    <row r="3904" spans="1:9" s="2" customFormat="1" ht="21.75" customHeight="1">
      <c r="A3904" s="8" t="s">
        <v>23</v>
      </c>
      <c r="B3904" s="8" t="s">
        <v>10</v>
      </c>
      <c r="C3904" s="9" t="str">
        <f t="shared" si="95"/>
        <v>230130</v>
      </c>
      <c r="D3904" s="9" t="str">
        <f>"230907027"</f>
        <v>230907027</v>
      </c>
      <c r="E3904" s="10">
        <v>71.819999999999993</v>
      </c>
      <c r="F3904" s="10"/>
      <c r="G3904" s="10">
        <v>68.5</v>
      </c>
      <c r="H3904" s="10"/>
      <c r="I3904" s="10">
        <v>69.83</v>
      </c>
    </row>
    <row r="3905" spans="1:9" s="3" customFormat="1" ht="21.75" customHeight="1">
      <c r="A3905" s="8" t="s">
        <v>23</v>
      </c>
      <c r="B3905" s="8" t="s">
        <v>10</v>
      </c>
      <c r="C3905" s="9" t="str">
        <f t="shared" si="95"/>
        <v>230130</v>
      </c>
      <c r="D3905" s="9" t="str">
        <f>"230907624"</f>
        <v>230907624</v>
      </c>
      <c r="E3905" s="10">
        <v>66.400000000000006</v>
      </c>
      <c r="F3905" s="10"/>
      <c r="G3905" s="10">
        <v>72</v>
      </c>
      <c r="H3905" s="10"/>
      <c r="I3905" s="10">
        <v>69.760000000000005</v>
      </c>
    </row>
    <row r="3906" spans="1:9" s="2" customFormat="1" ht="21.75" customHeight="1">
      <c r="A3906" s="8" t="s">
        <v>23</v>
      </c>
      <c r="B3906" s="8" t="s">
        <v>10</v>
      </c>
      <c r="C3906" s="9" t="str">
        <f t="shared" si="95"/>
        <v>230130</v>
      </c>
      <c r="D3906" s="9" t="str">
        <f>"230907902"</f>
        <v>230907902</v>
      </c>
      <c r="E3906" s="10">
        <v>70.08</v>
      </c>
      <c r="F3906" s="10"/>
      <c r="G3906" s="10">
        <v>69.5</v>
      </c>
      <c r="H3906" s="10"/>
      <c r="I3906" s="10">
        <v>69.73</v>
      </c>
    </row>
    <row r="3907" spans="1:9" s="2" customFormat="1" ht="21.75" customHeight="1">
      <c r="A3907" s="8" t="s">
        <v>23</v>
      </c>
      <c r="B3907" s="8" t="s">
        <v>10</v>
      </c>
      <c r="C3907" s="9" t="str">
        <f t="shared" si="95"/>
        <v>230130</v>
      </c>
      <c r="D3907" s="9" t="str">
        <f>"230907415"</f>
        <v>230907415</v>
      </c>
      <c r="E3907" s="10">
        <v>70.67</v>
      </c>
      <c r="F3907" s="10"/>
      <c r="G3907" s="10">
        <v>69</v>
      </c>
      <c r="H3907" s="10"/>
      <c r="I3907" s="10">
        <v>69.67</v>
      </c>
    </row>
    <row r="3908" spans="1:9" s="3" customFormat="1" ht="21.75" customHeight="1">
      <c r="A3908" s="8" t="s">
        <v>23</v>
      </c>
      <c r="B3908" s="8" t="s">
        <v>10</v>
      </c>
      <c r="C3908" s="9" t="str">
        <f t="shared" si="95"/>
        <v>230130</v>
      </c>
      <c r="D3908" s="9" t="str">
        <f>"230907229"</f>
        <v>230907229</v>
      </c>
      <c r="E3908" s="10">
        <v>64.099999999999994</v>
      </c>
      <c r="F3908" s="10"/>
      <c r="G3908" s="10">
        <v>73</v>
      </c>
      <c r="H3908" s="10"/>
      <c r="I3908" s="10">
        <v>69.44</v>
      </c>
    </row>
    <row r="3909" spans="1:9" s="2" customFormat="1" ht="21.75" customHeight="1">
      <c r="A3909" s="8" t="s">
        <v>23</v>
      </c>
      <c r="B3909" s="8" t="s">
        <v>10</v>
      </c>
      <c r="C3909" s="9" t="str">
        <f t="shared" si="95"/>
        <v>230130</v>
      </c>
      <c r="D3909" s="9" t="str">
        <f>"230907818"</f>
        <v>230907818</v>
      </c>
      <c r="E3909" s="10">
        <v>68.25</v>
      </c>
      <c r="F3909" s="10"/>
      <c r="G3909" s="10">
        <v>70</v>
      </c>
      <c r="H3909" s="10"/>
      <c r="I3909" s="10">
        <v>69.3</v>
      </c>
    </row>
    <row r="3910" spans="1:9" s="2" customFormat="1" ht="21.75" customHeight="1">
      <c r="A3910" s="8" t="s">
        <v>23</v>
      </c>
      <c r="B3910" s="8" t="s">
        <v>10</v>
      </c>
      <c r="C3910" s="9" t="str">
        <f t="shared" si="95"/>
        <v>230130</v>
      </c>
      <c r="D3910" s="9" t="str">
        <f>"230908004"</f>
        <v>230908004</v>
      </c>
      <c r="E3910" s="10">
        <v>69.62</v>
      </c>
      <c r="F3910" s="10"/>
      <c r="G3910" s="10">
        <v>69</v>
      </c>
      <c r="H3910" s="10"/>
      <c r="I3910" s="10">
        <v>69.25</v>
      </c>
    </row>
    <row r="3911" spans="1:9" s="2" customFormat="1" ht="21.75" customHeight="1">
      <c r="A3911" s="8" t="s">
        <v>23</v>
      </c>
      <c r="B3911" s="8" t="s">
        <v>10</v>
      </c>
      <c r="C3911" s="9" t="str">
        <f t="shared" si="95"/>
        <v>230130</v>
      </c>
      <c r="D3911" s="9" t="str">
        <f>"230907114"</f>
        <v>230907114</v>
      </c>
      <c r="E3911" s="10">
        <v>67.91</v>
      </c>
      <c r="F3911" s="10"/>
      <c r="G3911" s="10">
        <v>70</v>
      </c>
      <c r="H3911" s="10"/>
      <c r="I3911" s="10">
        <v>69.16</v>
      </c>
    </row>
    <row r="3912" spans="1:9" s="2" customFormat="1" ht="21.75" customHeight="1">
      <c r="A3912" s="8" t="s">
        <v>23</v>
      </c>
      <c r="B3912" s="8" t="s">
        <v>10</v>
      </c>
      <c r="C3912" s="9" t="str">
        <f t="shared" si="95"/>
        <v>230130</v>
      </c>
      <c r="D3912" s="9" t="str">
        <f>"230907723"</f>
        <v>230907723</v>
      </c>
      <c r="E3912" s="10">
        <v>67.900000000000006</v>
      </c>
      <c r="F3912" s="10"/>
      <c r="G3912" s="10">
        <v>70</v>
      </c>
      <c r="H3912" s="10"/>
      <c r="I3912" s="10">
        <v>69.16</v>
      </c>
    </row>
    <row r="3913" spans="1:9" s="2" customFormat="1" ht="21.75" customHeight="1">
      <c r="A3913" s="8" t="s">
        <v>23</v>
      </c>
      <c r="B3913" s="8" t="s">
        <v>10</v>
      </c>
      <c r="C3913" s="9" t="str">
        <f t="shared" si="95"/>
        <v>230130</v>
      </c>
      <c r="D3913" s="9" t="str">
        <f>"230907119"</f>
        <v>230907119</v>
      </c>
      <c r="E3913" s="10">
        <v>63.87</v>
      </c>
      <c r="F3913" s="10"/>
      <c r="G3913" s="10">
        <v>72.5</v>
      </c>
      <c r="H3913" s="10"/>
      <c r="I3913" s="10">
        <v>69.05</v>
      </c>
    </row>
    <row r="3914" spans="1:9" s="2" customFormat="1" ht="21.75" customHeight="1">
      <c r="A3914" s="8" t="s">
        <v>23</v>
      </c>
      <c r="B3914" s="8" t="s">
        <v>10</v>
      </c>
      <c r="C3914" s="9" t="str">
        <f t="shared" si="95"/>
        <v>230130</v>
      </c>
      <c r="D3914" s="9" t="str">
        <f>"230907107"</f>
        <v>230907107</v>
      </c>
      <c r="E3914" s="10">
        <v>65.27</v>
      </c>
      <c r="F3914" s="10"/>
      <c r="G3914" s="10">
        <v>71.5</v>
      </c>
      <c r="H3914" s="10"/>
      <c r="I3914" s="10">
        <v>69.010000000000005</v>
      </c>
    </row>
    <row r="3915" spans="1:9" s="2" customFormat="1" ht="21.75" customHeight="1">
      <c r="A3915" s="8" t="s">
        <v>23</v>
      </c>
      <c r="B3915" s="8" t="s">
        <v>10</v>
      </c>
      <c r="C3915" s="9" t="str">
        <f t="shared" si="95"/>
        <v>230130</v>
      </c>
      <c r="D3915" s="9" t="str">
        <f>"230907620"</f>
        <v>230907620</v>
      </c>
      <c r="E3915" s="10">
        <v>65.14</v>
      </c>
      <c r="F3915" s="10"/>
      <c r="G3915" s="10">
        <v>71.5</v>
      </c>
      <c r="H3915" s="10"/>
      <c r="I3915" s="10">
        <v>68.959999999999994</v>
      </c>
    </row>
    <row r="3916" spans="1:9" s="3" customFormat="1" ht="21.75" customHeight="1">
      <c r="A3916" s="8" t="s">
        <v>23</v>
      </c>
      <c r="B3916" s="8" t="s">
        <v>10</v>
      </c>
      <c r="C3916" s="9" t="str">
        <f t="shared" si="95"/>
        <v>230130</v>
      </c>
      <c r="D3916" s="9" t="str">
        <f>"230907429"</f>
        <v>230907429</v>
      </c>
      <c r="E3916" s="10">
        <v>67.930000000000007</v>
      </c>
      <c r="F3916" s="10"/>
      <c r="G3916" s="10">
        <v>69.5</v>
      </c>
      <c r="H3916" s="10"/>
      <c r="I3916" s="10">
        <v>68.87</v>
      </c>
    </row>
    <row r="3917" spans="1:9" s="2" customFormat="1" ht="21.75" customHeight="1">
      <c r="A3917" s="8" t="s">
        <v>23</v>
      </c>
      <c r="B3917" s="8" t="s">
        <v>10</v>
      </c>
      <c r="C3917" s="9" t="str">
        <f t="shared" si="95"/>
        <v>230130</v>
      </c>
      <c r="D3917" s="9" t="str">
        <f>"230907207"</f>
        <v>230907207</v>
      </c>
      <c r="E3917" s="10">
        <v>67.569999999999993</v>
      </c>
      <c r="F3917" s="10"/>
      <c r="G3917" s="10">
        <v>69.5</v>
      </c>
      <c r="H3917" s="10"/>
      <c r="I3917" s="10">
        <v>68.73</v>
      </c>
    </row>
    <row r="3918" spans="1:9" s="2" customFormat="1" ht="21.75" customHeight="1">
      <c r="A3918" s="8" t="s">
        <v>23</v>
      </c>
      <c r="B3918" s="8" t="s">
        <v>10</v>
      </c>
      <c r="C3918" s="9" t="str">
        <f t="shared" si="95"/>
        <v>230130</v>
      </c>
      <c r="D3918" s="9" t="str">
        <f>"230907512"</f>
        <v>230907512</v>
      </c>
      <c r="E3918" s="10">
        <v>66.28</v>
      </c>
      <c r="F3918" s="10"/>
      <c r="G3918" s="10">
        <v>70</v>
      </c>
      <c r="H3918" s="10"/>
      <c r="I3918" s="10">
        <v>68.510000000000005</v>
      </c>
    </row>
    <row r="3919" spans="1:9" s="3" customFormat="1" ht="21.75" customHeight="1">
      <c r="A3919" s="8" t="s">
        <v>23</v>
      </c>
      <c r="B3919" s="8" t="s">
        <v>10</v>
      </c>
      <c r="C3919" s="9" t="str">
        <f t="shared" si="95"/>
        <v>230130</v>
      </c>
      <c r="D3919" s="9" t="str">
        <f>"230907917"</f>
        <v>230907917</v>
      </c>
      <c r="E3919" s="10">
        <v>68.819999999999993</v>
      </c>
      <c r="F3919" s="10"/>
      <c r="G3919" s="10">
        <v>68</v>
      </c>
      <c r="H3919" s="10"/>
      <c r="I3919" s="10">
        <v>68.33</v>
      </c>
    </row>
    <row r="3920" spans="1:9" s="2" customFormat="1" ht="21.75" customHeight="1">
      <c r="A3920" s="8" t="s">
        <v>23</v>
      </c>
      <c r="B3920" s="8" t="s">
        <v>10</v>
      </c>
      <c r="C3920" s="9" t="str">
        <f t="shared" si="95"/>
        <v>230130</v>
      </c>
      <c r="D3920" s="9" t="str">
        <f>"230907929"</f>
        <v>230907929</v>
      </c>
      <c r="E3920" s="10">
        <v>68.819999999999993</v>
      </c>
      <c r="F3920" s="10"/>
      <c r="G3920" s="10">
        <v>68</v>
      </c>
      <c r="H3920" s="10"/>
      <c r="I3920" s="10">
        <v>68.33</v>
      </c>
    </row>
    <row r="3921" spans="1:9" s="3" customFormat="1" ht="21.75" customHeight="1">
      <c r="A3921" s="8" t="s">
        <v>23</v>
      </c>
      <c r="B3921" s="8" t="s">
        <v>10</v>
      </c>
      <c r="C3921" s="9" t="str">
        <f t="shared" si="95"/>
        <v>230130</v>
      </c>
      <c r="D3921" s="9" t="str">
        <f>"230907111"</f>
        <v>230907111</v>
      </c>
      <c r="E3921" s="10">
        <v>74.010000000000005</v>
      </c>
      <c r="F3921" s="10"/>
      <c r="G3921" s="10">
        <v>64.5</v>
      </c>
      <c r="H3921" s="10"/>
      <c r="I3921" s="10">
        <v>68.3</v>
      </c>
    </row>
    <row r="3922" spans="1:9" s="3" customFormat="1" ht="21.75" customHeight="1">
      <c r="A3922" s="8" t="s">
        <v>23</v>
      </c>
      <c r="B3922" s="8" t="s">
        <v>10</v>
      </c>
      <c r="C3922" s="9" t="str">
        <f t="shared" si="95"/>
        <v>230130</v>
      </c>
      <c r="D3922" s="9" t="str">
        <f>"230907606"</f>
        <v>230907606</v>
      </c>
      <c r="E3922" s="10">
        <v>68.72</v>
      </c>
      <c r="F3922" s="10"/>
      <c r="G3922" s="10">
        <v>68</v>
      </c>
      <c r="H3922" s="10"/>
      <c r="I3922" s="10">
        <v>68.290000000000006</v>
      </c>
    </row>
    <row r="3923" spans="1:9" s="3" customFormat="1" ht="21.75" customHeight="1">
      <c r="A3923" s="8" t="s">
        <v>23</v>
      </c>
      <c r="B3923" s="8" t="s">
        <v>10</v>
      </c>
      <c r="C3923" s="9" t="str">
        <f t="shared" si="95"/>
        <v>230130</v>
      </c>
      <c r="D3923" s="9" t="str">
        <f>"230907501"</f>
        <v>230907501</v>
      </c>
      <c r="E3923" s="10">
        <v>61.12</v>
      </c>
      <c r="F3923" s="10"/>
      <c r="G3923" s="10">
        <v>73</v>
      </c>
      <c r="H3923" s="10"/>
      <c r="I3923" s="10">
        <v>68.25</v>
      </c>
    </row>
    <row r="3924" spans="1:9" s="2" customFormat="1" ht="21.75" customHeight="1">
      <c r="A3924" s="8" t="s">
        <v>23</v>
      </c>
      <c r="B3924" s="8" t="s">
        <v>10</v>
      </c>
      <c r="C3924" s="9" t="str">
        <f t="shared" si="95"/>
        <v>230130</v>
      </c>
      <c r="D3924" s="9" t="str">
        <f>"230907218"</f>
        <v>230907218</v>
      </c>
      <c r="E3924" s="10">
        <v>62.61</v>
      </c>
      <c r="F3924" s="10"/>
      <c r="G3924" s="10">
        <v>72</v>
      </c>
      <c r="H3924" s="10"/>
      <c r="I3924" s="10">
        <v>68.239999999999995</v>
      </c>
    </row>
    <row r="3925" spans="1:9" s="3" customFormat="1" ht="21.75" customHeight="1">
      <c r="A3925" s="8" t="s">
        <v>23</v>
      </c>
      <c r="B3925" s="8" t="s">
        <v>10</v>
      </c>
      <c r="C3925" s="9" t="str">
        <f t="shared" si="95"/>
        <v>230130</v>
      </c>
      <c r="D3925" s="9" t="str">
        <f>"230907116"</f>
        <v>230907116</v>
      </c>
      <c r="E3925" s="10">
        <v>65.400000000000006</v>
      </c>
      <c r="F3925" s="10"/>
      <c r="G3925" s="10">
        <v>70</v>
      </c>
      <c r="H3925" s="10"/>
      <c r="I3925" s="10">
        <v>68.16</v>
      </c>
    </row>
    <row r="3926" spans="1:9" s="2" customFormat="1" ht="21.75" customHeight="1">
      <c r="A3926" s="8" t="s">
        <v>23</v>
      </c>
      <c r="B3926" s="8" t="s">
        <v>10</v>
      </c>
      <c r="C3926" s="9" t="str">
        <f t="shared" si="95"/>
        <v>230130</v>
      </c>
      <c r="D3926" s="9" t="str">
        <f>"230907922"</f>
        <v>230907922</v>
      </c>
      <c r="E3926" s="10">
        <v>65.150000000000006</v>
      </c>
      <c r="F3926" s="10"/>
      <c r="G3926" s="10">
        <v>70</v>
      </c>
      <c r="H3926" s="10"/>
      <c r="I3926" s="10">
        <v>68.06</v>
      </c>
    </row>
    <row r="3927" spans="1:9" s="3" customFormat="1" ht="21.75" customHeight="1">
      <c r="A3927" s="8" t="s">
        <v>23</v>
      </c>
      <c r="B3927" s="8" t="s">
        <v>10</v>
      </c>
      <c r="C3927" s="9" t="str">
        <f t="shared" si="95"/>
        <v>230130</v>
      </c>
      <c r="D3927" s="9" t="str">
        <f>"230907629"</f>
        <v>230907629</v>
      </c>
      <c r="E3927" s="10">
        <v>61.36</v>
      </c>
      <c r="F3927" s="10"/>
      <c r="G3927" s="10">
        <v>72.5</v>
      </c>
      <c r="H3927" s="10"/>
      <c r="I3927" s="10">
        <v>68.040000000000006</v>
      </c>
    </row>
    <row r="3928" spans="1:9" s="2" customFormat="1" ht="21.75" customHeight="1">
      <c r="A3928" s="8" t="s">
        <v>23</v>
      </c>
      <c r="B3928" s="8" t="s">
        <v>10</v>
      </c>
      <c r="C3928" s="9" t="str">
        <f t="shared" si="95"/>
        <v>230130</v>
      </c>
      <c r="D3928" s="9" t="str">
        <f>"230907715"</f>
        <v>230907715</v>
      </c>
      <c r="E3928" s="10">
        <v>59.04</v>
      </c>
      <c r="F3928" s="10"/>
      <c r="G3928" s="10">
        <v>74</v>
      </c>
      <c r="H3928" s="10"/>
      <c r="I3928" s="10">
        <v>68.02</v>
      </c>
    </row>
    <row r="3929" spans="1:9" s="2" customFormat="1" ht="21.75" customHeight="1">
      <c r="A3929" s="8" t="s">
        <v>23</v>
      </c>
      <c r="B3929" s="8" t="s">
        <v>10</v>
      </c>
      <c r="C3929" s="9" t="str">
        <f t="shared" si="95"/>
        <v>230130</v>
      </c>
      <c r="D3929" s="9" t="str">
        <f>"230908014"</f>
        <v>230908014</v>
      </c>
      <c r="E3929" s="10">
        <v>64.91</v>
      </c>
      <c r="F3929" s="10"/>
      <c r="G3929" s="10">
        <v>70</v>
      </c>
      <c r="H3929" s="10"/>
      <c r="I3929" s="10">
        <v>67.959999999999994</v>
      </c>
    </row>
    <row r="3930" spans="1:9" s="2" customFormat="1" ht="21.75" customHeight="1">
      <c r="A3930" s="8" t="s">
        <v>23</v>
      </c>
      <c r="B3930" s="8" t="s">
        <v>10</v>
      </c>
      <c r="C3930" s="9" t="str">
        <f t="shared" si="95"/>
        <v>230130</v>
      </c>
      <c r="D3930" s="9" t="str">
        <f>"230907828"</f>
        <v>230907828</v>
      </c>
      <c r="E3930" s="10">
        <v>60.2</v>
      </c>
      <c r="F3930" s="10"/>
      <c r="G3930" s="10">
        <v>73</v>
      </c>
      <c r="H3930" s="10"/>
      <c r="I3930" s="10">
        <v>67.88</v>
      </c>
    </row>
    <row r="3931" spans="1:9" s="2" customFormat="1" ht="21.75" customHeight="1">
      <c r="A3931" s="8" t="s">
        <v>23</v>
      </c>
      <c r="B3931" s="8" t="s">
        <v>10</v>
      </c>
      <c r="C3931" s="9" t="str">
        <f t="shared" si="95"/>
        <v>230130</v>
      </c>
      <c r="D3931" s="9" t="str">
        <f>"230907026"</f>
        <v>230907026</v>
      </c>
      <c r="E3931" s="10">
        <v>62.98</v>
      </c>
      <c r="F3931" s="10"/>
      <c r="G3931" s="10">
        <v>71</v>
      </c>
      <c r="H3931" s="10"/>
      <c r="I3931" s="10">
        <v>67.790000000000006</v>
      </c>
    </row>
    <row r="3932" spans="1:9" s="2" customFormat="1" ht="21.75" customHeight="1">
      <c r="A3932" s="8" t="s">
        <v>23</v>
      </c>
      <c r="B3932" s="8" t="s">
        <v>10</v>
      </c>
      <c r="C3932" s="9" t="str">
        <f t="shared" si="95"/>
        <v>230130</v>
      </c>
      <c r="D3932" s="9" t="str">
        <f>"230907404"</f>
        <v>230907404</v>
      </c>
      <c r="E3932" s="10">
        <v>61.47</v>
      </c>
      <c r="F3932" s="10"/>
      <c r="G3932" s="10">
        <v>71.5</v>
      </c>
      <c r="H3932" s="10"/>
      <c r="I3932" s="10">
        <v>67.489999999999995</v>
      </c>
    </row>
    <row r="3933" spans="1:9" s="3" customFormat="1" ht="21.75" customHeight="1">
      <c r="A3933" s="8" t="s">
        <v>23</v>
      </c>
      <c r="B3933" s="8" t="s">
        <v>10</v>
      </c>
      <c r="C3933" s="9" t="str">
        <f t="shared" si="95"/>
        <v>230130</v>
      </c>
      <c r="D3933" s="9" t="str">
        <f>"230907407"</f>
        <v>230907407</v>
      </c>
      <c r="E3933" s="10">
        <v>67.78</v>
      </c>
      <c r="F3933" s="10"/>
      <c r="G3933" s="10">
        <v>67</v>
      </c>
      <c r="H3933" s="10"/>
      <c r="I3933" s="10">
        <v>67.31</v>
      </c>
    </row>
    <row r="3934" spans="1:9" s="2" customFormat="1" ht="21.75" customHeight="1">
      <c r="A3934" s="8" t="s">
        <v>23</v>
      </c>
      <c r="B3934" s="8" t="s">
        <v>10</v>
      </c>
      <c r="C3934" s="9" t="str">
        <f t="shared" si="95"/>
        <v>230130</v>
      </c>
      <c r="D3934" s="9" t="str">
        <f>"230907308"</f>
        <v>230907308</v>
      </c>
      <c r="E3934" s="10">
        <v>67.099999999999994</v>
      </c>
      <c r="F3934" s="10"/>
      <c r="G3934" s="10">
        <v>67</v>
      </c>
      <c r="H3934" s="10"/>
      <c r="I3934" s="10">
        <v>67.040000000000006</v>
      </c>
    </row>
    <row r="3935" spans="1:9" s="2" customFormat="1" ht="21.75" customHeight="1">
      <c r="A3935" s="8" t="s">
        <v>23</v>
      </c>
      <c r="B3935" s="8" t="s">
        <v>10</v>
      </c>
      <c r="C3935" s="9" t="str">
        <f t="shared" si="95"/>
        <v>230130</v>
      </c>
      <c r="D3935" s="9" t="str">
        <f>"230907127"</f>
        <v>230907127</v>
      </c>
      <c r="E3935" s="10">
        <v>63.11</v>
      </c>
      <c r="F3935" s="10"/>
      <c r="G3935" s="10">
        <v>69.5</v>
      </c>
      <c r="H3935" s="10"/>
      <c r="I3935" s="10">
        <v>66.94</v>
      </c>
    </row>
    <row r="3936" spans="1:9" s="2" customFormat="1" ht="21.75" customHeight="1">
      <c r="A3936" s="8" t="s">
        <v>23</v>
      </c>
      <c r="B3936" s="8" t="s">
        <v>10</v>
      </c>
      <c r="C3936" s="9" t="str">
        <f t="shared" si="95"/>
        <v>230130</v>
      </c>
      <c r="D3936" s="9" t="str">
        <f>"230907601"</f>
        <v>230907601</v>
      </c>
      <c r="E3936" s="10">
        <v>59.63</v>
      </c>
      <c r="F3936" s="10"/>
      <c r="G3936" s="10">
        <v>71.5</v>
      </c>
      <c r="H3936" s="10"/>
      <c r="I3936" s="10">
        <v>66.75</v>
      </c>
    </row>
    <row r="3937" spans="1:9" s="2" customFormat="1" ht="21.75" customHeight="1">
      <c r="A3937" s="8" t="s">
        <v>23</v>
      </c>
      <c r="B3937" s="8" t="s">
        <v>10</v>
      </c>
      <c r="C3937" s="9" t="str">
        <f t="shared" si="95"/>
        <v>230130</v>
      </c>
      <c r="D3937" s="9" t="str">
        <f>"230907104"</f>
        <v>230907104</v>
      </c>
      <c r="E3937" s="10">
        <v>68.25</v>
      </c>
      <c r="F3937" s="10"/>
      <c r="G3937" s="10">
        <v>65.5</v>
      </c>
      <c r="H3937" s="10"/>
      <c r="I3937" s="10">
        <v>66.599999999999994</v>
      </c>
    </row>
    <row r="3938" spans="1:9" s="2" customFormat="1" ht="21.75" customHeight="1">
      <c r="A3938" s="8" t="s">
        <v>23</v>
      </c>
      <c r="B3938" s="8" t="s">
        <v>10</v>
      </c>
      <c r="C3938" s="9" t="str">
        <f t="shared" si="95"/>
        <v>230130</v>
      </c>
      <c r="D3938" s="9" t="str">
        <f>"230907730"</f>
        <v>230907730</v>
      </c>
      <c r="E3938" s="10">
        <v>71.11</v>
      </c>
      <c r="F3938" s="10"/>
      <c r="G3938" s="10">
        <v>63.5</v>
      </c>
      <c r="H3938" s="10"/>
      <c r="I3938" s="10">
        <v>66.540000000000006</v>
      </c>
    </row>
    <row r="3939" spans="1:9" s="2" customFormat="1" ht="21.75" customHeight="1">
      <c r="A3939" s="8" t="s">
        <v>23</v>
      </c>
      <c r="B3939" s="8" t="s">
        <v>10</v>
      </c>
      <c r="C3939" s="9" t="str">
        <f t="shared" si="95"/>
        <v>230130</v>
      </c>
      <c r="D3939" s="9" t="str">
        <f>"230907928"</f>
        <v>230907928</v>
      </c>
      <c r="E3939" s="10">
        <v>70.66</v>
      </c>
      <c r="F3939" s="10"/>
      <c r="G3939" s="10">
        <v>63.5</v>
      </c>
      <c r="H3939" s="10"/>
      <c r="I3939" s="10">
        <v>66.36</v>
      </c>
    </row>
    <row r="3940" spans="1:9" s="2" customFormat="1" ht="21.75" customHeight="1">
      <c r="A3940" s="8" t="s">
        <v>23</v>
      </c>
      <c r="B3940" s="8" t="s">
        <v>10</v>
      </c>
      <c r="C3940" s="9" t="str">
        <f t="shared" si="95"/>
        <v>230130</v>
      </c>
      <c r="D3940" s="9" t="str">
        <f>"230907718"</f>
        <v>230907718</v>
      </c>
      <c r="E3940" s="10">
        <v>65.38</v>
      </c>
      <c r="F3940" s="10"/>
      <c r="G3940" s="10">
        <v>67</v>
      </c>
      <c r="H3940" s="10"/>
      <c r="I3940" s="10">
        <v>66.349999999999994</v>
      </c>
    </row>
    <row r="3941" spans="1:9" s="2" customFormat="1" ht="21.75" customHeight="1">
      <c r="A3941" s="8" t="s">
        <v>23</v>
      </c>
      <c r="B3941" s="8" t="s">
        <v>10</v>
      </c>
      <c r="C3941" s="9" t="str">
        <f t="shared" si="95"/>
        <v>230130</v>
      </c>
      <c r="D3941" s="9" t="str">
        <f>"230907727"</f>
        <v>230907727</v>
      </c>
      <c r="E3941" s="10">
        <v>67.55</v>
      </c>
      <c r="F3941" s="10"/>
      <c r="G3941" s="10">
        <v>65.5</v>
      </c>
      <c r="H3941" s="10"/>
      <c r="I3941" s="10">
        <v>66.319999999999993</v>
      </c>
    </row>
    <row r="3942" spans="1:9" s="2" customFormat="1" ht="21.75" customHeight="1">
      <c r="A3942" s="8" t="s">
        <v>23</v>
      </c>
      <c r="B3942" s="8" t="s">
        <v>10</v>
      </c>
      <c r="C3942" s="9" t="str">
        <f t="shared" si="95"/>
        <v>230130</v>
      </c>
      <c r="D3942" s="9" t="str">
        <f>"230907908"</f>
        <v>230907908</v>
      </c>
      <c r="E3942" s="10">
        <v>59.86</v>
      </c>
      <c r="F3942" s="10"/>
      <c r="G3942" s="10">
        <v>70.5</v>
      </c>
      <c r="H3942" s="10"/>
      <c r="I3942" s="10">
        <v>66.239999999999995</v>
      </c>
    </row>
    <row r="3943" spans="1:9" s="2" customFormat="1" ht="21.75" customHeight="1">
      <c r="A3943" s="8" t="s">
        <v>23</v>
      </c>
      <c r="B3943" s="8" t="s">
        <v>10</v>
      </c>
      <c r="C3943" s="9" t="str">
        <f t="shared" si="95"/>
        <v>230130</v>
      </c>
      <c r="D3943" s="9" t="str">
        <f>"230907703"</f>
        <v>230907703</v>
      </c>
      <c r="E3943" s="10">
        <v>61.8</v>
      </c>
      <c r="F3943" s="10"/>
      <c r="G3943" s="10">
        <v>69</v>
      </c>
      <c r="H3943" s="10"/>
      <c r="I3943" s="10">
        <v>66.12</v>
      </c>
    </row>
    <row r="3944" spans="1:9" s="3" customFormat="1" ht="21.75" customHeight="1">
      <c r="A3944" s="8" t="s">
        <v>23</v>
      </c>
      <c r="B3944" s="8" t="s">
        <v>10</v>
      </c>
      <c r="C3944" s="9" t="str">
        <f t="shared" si="95"/>
        <v>230130</v>
      </c>
      <c r="D3944" s="9" t="str">
        <f>"230907419"</f>
        <v>230907419</v>
      </c>
      <c r="E3944" s="10">
        <v>65.38</v>
      </c>
      <c r="F3944" s="10"/>
      <c r="G3944" s="10">
        <v>66.5</v>
      </c>
      <c r="H3944" s="10"/>
      <c r="I3944" s="10">
        <v>66.05</v>
      </c>
    </row>
    <row r="3945" spans="1:9" s="3" customFormat="1" ht="21.75" customHeight="1">
      <c r="A3945" s="8" t="s">
        <v>23</v>
      </c>
      <c r="B3945" s="8" t="s">
        <v>10</v>
      </c>
      <c r="C3945" s="9" t="str">
        <f t="shared" si="95"/>
        <v>230130</v>
      </c>
      <c r="D3945" s="9" t="str">
        <f>"230907621"</f>
        <v>230907621</v>
      </c>
      <c r="E3945" s="10">
        <v>58.63</v>
      </c>
      <c r="F3945" s="10"/>
      <c r="G3945" s="10">
        <v>71</v>
      </c>
      <c r="H3945" s="10"/>
      <c r="I3945" s="10">
        <v>66.05</v>
      </c>
    </row>
    <row r="3946" spans="1:9" s="2" customFormat="1" ht="21.75" customHeight="1">
      <c r="A3946" s="8" t="s">
        <v>23</v>
      </c>
      <c r="B3946" s="8" t="s">
        <v>10</v>
      </c>
      <c r="C3946" s="9" t="str">
        <f t="shared" si="95"/>
        <v>230130</v>
      </c>
      <c r="D3946" s="9" t="str">
        <f>"230907313"</f>
        <v>230907313</v>
      </c>
      <c r="E3946" s="10">
        <v>65.709999999999994</v>
      </c>
      <c r="F3946" s="10"/>
      <c r="G3946" s="10">
        <v>66</v>
      </c>
      <c r="H3946" s="10"/>
      <c r="I3946" s="10">
        <v>65.88</v>
      </c>
    </row>
    <row r="3947" spans="1:9" s="3" customFormat="1" ht="21.75" customHeight="1">
      <c r="A3947" s="8" t="s">
        <v>23</v>
      </c>
      <c r="B3947" s="8" t="s">
        <v>10</v>
      </c>
      <c r="C3947" s="9" t="str">
        <f t="shared" si="95"/>
        <v>230130</v>
      </c>
      <c r="D3947" s="9" t="str">
        <f>"230907918"</f>
        <v>230907918</v>
      </c>
      <c r="E3947" s="10">
        <v>65.73</v>
      </c>
      <c r="F3947" s="10"/>
      <c r="G3947" s="10">
        <v>65.5</v>
      </c>
      <c r="H3947" s="10"/>
      <c r="I3947" s="10">
        <v>65.59</v>
      </c>
    </row>
    <row r="3948" spans="1:9" s="2" customFormat="1" ht="21.75" customHeight="1">
      <c r="A3948" s="8" t="s">
        <v>23</v>
      </c>
      <c r="B3948" s="8" t="s">
        <v>10</v>
      </c>
      <c r="C3948" s="9" t="str">
        <f t="shared" si="95"/>
        <v>230130</v>
      </c>
      <c r="D3948" s="9" t="str">
        <f>"230907521"</f>
        <v>230907521</v>
      </c>
      <c r="E3948" s="10">
        <v>69.400000000000006</v>
      </c>
      <c r="F3948" s="10"/>
      <c r="G3948" s="10">
        <v>63</v>
      </c>
      <c r="H3948" s="10"/>
      <c r="I3948" s="10">
        <v>65.56</v>
      </c>
    </row>
    <row r="3949" spans="1:9" s="2" customFormat="1" ht="21.75" customHeight="1">
      <c r="A3949" s="8" t="s">
        <v>23</v>
      </c>
      <c r="B3949" s="8" t="s">
        <v>10</v>
      </c>
      <c r="C3949" s="9" t="str">
        <f t="shared" si="95"/>
        <v>230130</v>
      </c>
      <c r="D3949" s="9" t="str">
        <f>"230907817"</f>
        <v>230907817</v>
      </c>
      <c r="E3949" s="10">
        <v>58.12</v>
      </c>
      <c r="F3949" s="10"/>
      <c r="G3949" s="10">
        <v>70.5</v>
      </c>
      <c r="H3949" s="10"/>
      <c r="I3949" s="10">
        <v>65.55</v>
      </c>
    </row>
    <row r="3950" spans="1:9" s="3" customFormat="1" ht="21.75" customHeight="1">
      <c r="A3950" s="8" t="s">
        <v>23</v>
      </c>
      <c r="B3950" s="8" t="s">
        <v>10</v>
      </c>
      <c r="C3950" s="9" t="str">
        <f t="shared" si="95"/>
        <v>230130</v>
      </c>
      <c r="D3950" s="9" t="str">
        <f>"230907508"</f>
        <v>230907508</v>
      </c>
      <c r="E3950" s="10">
        <v>65.14</v>
      </c>
      <c r="F3950" s="10"/>
      <c r="G3950" s="10">
        <v>65.5</v>
      </c>
      <c r="H3950" s="10"/>
      <c r="I3950" s="10">
        <v>65.36</v>
      </c>
    </row>
    <row r="3951" spans="1:9" s="3" customFormat="1" ht="21.75" customHeight="1">
      <c r="A3951" s="8" t="s">
        <v>23</v>
      </c>
      <c r="B3951" s="8" t="s">
        <v>10</v>
      </c>
      <c r="C3951" s="9" t="str">
        <f t="shared" si="95"/>
        <v>230130</v>
      </c>
      <c r="D3951" s="9" t="str">
        <f>"230907527"</f>
        <v>230907527</v>
      </c>
      <c r="E3951" s="10">
        <v>52.17</v>
      </c>
      <c r="F3951" s="10"/>
      <c r="G3951" s="10">
        <v>74</v>
      </c>
      <c r="H3951" s="10"/>
      <c r="I3951" s="10">
        <v>65.27</v>
      </c>
    </row>
    <row r="3952" spans="1:9" s="3" customFormat="1" ht="21.75" customHeight="1">
      <c r="A3952" s="8" t="s">
        <v>23</v>
      </c>
      <c r="B3952" s="8" t="s">
        <v>10</v>
      </c>
      <c r="C3952" s="9" t="str">
        <f t="shared" si="95"/>
        <v>230130</v>
      </c>
      <c r="D3952" s="9" t="str">
        <f>"230907722"</f>
        <v>230907722</v>
      </c>
      <c r="E3952" s="10">
        <v>60.35</v>
      </c>
      <c r="F3952" s="10"/>
      <c r="G3952" s="10">
        <v>68.5</v>
      </c>
      <c r="H3952" s="10"/>
      <c r="I3952" s="10">
        <v>65.239999999999995</v>
      </c>
    </row>
    <row r="3953" spans="1:9" s="3" customFormat="1" ht="21.75" customHeight="1">
      <c r="A3953" s="8" t="s">
        <v>23</v>
      </c>
      <c r="B3953" s="8" t="s">
        <v>10</v>
      </c>
      <c r="C3953" s="9" t="str">
        <f t="shared" si="95"/>
        <v>230130</v>
      </c>
      <c r="D3953" s="9" t="str">
        <f>"230907202"</f>
        <v>230907202</v>
      </c>
      <c r="E3953" s="10">
        <v>60.42</v>
      </c>
      <c r="F3953" s="10"/>
      <c r="G3953" s="10">
        <v>68</v>
      </c>
      <c r="H3953" s="10"/>
      <c r="I3953" s="10">
        <v>64.97</v>
      </c>
    </row>
    <row r="3954" spans="1:9" s="2" customFormat="1" ht="21.75" customHeight="1">
      <c r="A3954" s="8" t="s">
        <v>23</v>
      </c>
      <c r="B3954" s="8" t="s">
        <v>10</v>
      </c>
      <c r="C3954" s="9" t="str">
        <f t="shared" si="95"/>
        <v>230130</v>
      </c>
      <c r="D3954" s="9" t="str">
        <f>"230908016"</f>
        <v>230908016</v>
      </c>
      <c r="E3954" s="10">
        <v>59.75</v>
      </c>
      <c r="F3954" s="10"/>
      <c r="G3954" s="10">
        <v>67.5</v>
      </c>
      <c r="H3954" s="10"/>
      <c r="I3954" s="10">
        <v>64.400000000000006</v>
      </c>
    </row>
    <row r="3955" spans="1:9" s="2" customFormat="1" ht="21.75" customHeight="1">
      <c r="A3955" s="8" t="s">
        <v>23</v>
      </c>
      <c r="B3955" s="8" t="s">
        <v>10</v>
      </c>
      <c r="C3955" s="9" t="str">
        <f t="shared" si="95"/>
        <v>230130</v>
      </c>
      <c r="D3955" s="9" t="str">
        <f>"230907706"</f>
        <v>230907706</v>
      </c>
      <c r="E3955" s="10">
        <v>55.72</v>
      </c>
      <c r="F3955" s="10"/>
      <c r="G3955" s="10">
        <v>70</v>
      </c>
      <c r="H3955" s="10"/>
      <c r="I3955" s="10">
        <v>64.290000000000006</v>
      </c>
    </row>
    <row r="3956" spans="1:9" s="2" customFormat="1" ht="21.75" customHeight="1">
      <c r="A3956" s="8" t="s">
        <v>23</v>
      </c>
      <c r="B3956" s="8" t="s">
        <v>10</v>
      </c>
      <c r="C3956" s="9" t="str">
        <f t="shared" si="95"/>
        <v>230130</v>
      </c>
      <c r="D3956" s="9" t="str">
        <f>"230907717"</f>
        <v>230907717</v>
      </c>
      <c r="E3956" s="10">
        <v>52.5</v>
      </c>
      <c r="F3956" s="10"/>
      <c r="G3956" s="10">
        <v>72</v>
      </c>
      <c r="H3956" s="10"/>
      <c r="I3956" s="10">
        <v>64.2</v>
      </c>
    </row>
    <row r="3957" spans="1:9" s="2" customFormat="1" ht="21.75" customHeight="1">
      <c r="A3957" s="8" t="s">
        <v>23</v>
      </c>
      <c r="B3957" s="8" t="s">
        <v>10</v>
      </c>
      <c r="C3957" s="9" t="str">
        <f t="shared" si="95"/>
        <v>230130</v>
      </c>
      <c r="D3957" s="9" t="str">
        <f>"230907423"</f>
        <v>230907423</v>
      </c>
      <c r="E3957" s="10">
        <v>52.44</v>
      </c>
      <c r="F3957" s="10"/>
      <c r="G3957" s="10">
        <v>71.5</v>
      </c>
      <c r="H3957" s="10"/>
      <c r="I3957" s="10">
        <v>63.88</v>
      </c>
    </row>
    <row r="3958" spans="1:9" s="3" customFormat="1" ht="21.75" customHeight="1">
      <c r="A3958" s="8" t="s">
        <v>23</v>
      </c>
      <c r="B3958" s="8" t="s">
        <v>10</v>
      </c>
      <c r="C3958" s="9" t="str">
        <f t="shared" si="95"/>
        <v>230130</v>
      </c>
      <c r="D3958" s="9" t="str">
        <f>"230907519"</f>
        <v>230907519</v>
      </c>
      <c r="E3958" s="10">
        <v>65.260000000000005</v>
      </c>
      <c r="F3958" s="10"/>
      <c r="G3958" s="10">
        <v>62.5</v>
      </c>
      <c r="H3958" s="10"/>
      <c r="I3958" s="10">
        <v>63.6</v>
      </c>
    </row>
    <row r="3959" spans="1:9" s="2" customFormat="1" ht="21.75" customHeight="1">
      <c r="A3959" s="8" t="s">
        <v>23</v>
      </c>
      <c r="B3959" s="8" t="s">
        <v>10</v>
      </c>
      <c r="C3959" s="9" t="str">
        <f t="shared" si="95"/>
        <v>230130</v>
      </c>
      <c r="D3959" s="9" t="str">
        <f>"230907721"</f>
        <v>230907721</v>
      </c>
      <c r="E3959" s="10">
        <v>53.88</v>
      </c>
      <c r="F3959" s="10"/>
      <c r="G3959" s="10">
        <v>69</v>
      </c>
      <c r="H3959" s="10"/>
      <c r="I3959" s="10">
        <v>62.95</v>
      </c>
    </row>
    <row r="3960" spans="1:9" s="2" customFormat="1" ht="21.75" customHeight="1">
      <c r="A3960" s="8" t="s">
        <v>23</v>
      </c>
      <c r="B3960" s="8" t="s">
        <v>10</v>
      </c>
      <c r="C3960" s="9" t="str">
        <f t="shared" si="95"/>
        <v>230130</v>
      </c>
      <c r="D3960" s="9" t="str">
        <f>"230907702"</f>
        <v>230907702</v>
      </c>
      <c r="E3960" s="10">
        <v>76.290000000000006</v>
      </c>
      <c r="F3960" s="10"/>
      <c r="G3960" s="10">
        <v>54</v>
      </c>
      <c r="H3960" s="10"/>
      <c r="I3960" s="10">
        <v>62.92</v>
      </c>
    </row>
    <row r="3961" spans="1:9" s="2" customFormat="1" ht="21.75" customHeight="1">
      <c r="A3961" s="8" t="s">
        <v>23</v>
      </c>
      <c r="B3961" s="8" t="s">
        <v>10</v>
      </c>
      <c r="C3961" s="9" t="str">
        <f t="shared" si="95"/>
        <v>230130</v>
      </c>
      <c r="D3961" s="9" t="str">
        <f>"230907907"</f>
        <v>230907907</v>
      </c>
      <c r="E3961" s="10">
        <v>58.24</v>
      </c>
      <c r="F3961" s="10"/>
      <c r="G3961" s="10">
        <v>65.5</v>
      </c>
      <c r="H3961" s="10"/>
      <c r="I3961" s="10">
        <v>62.6</v>
      </c>
    </row>
    <row r="3962" spans="1:9" s="3" customFormat="1" ht="21.75" customHeight="1">
      <c r="A3962" s="8" t="s">
        <v>23</v>
      </c>
      <c r="B3962" s="8" t="s">
        <v>10</v>
      </c>
      <c r="C3962" s="9" t="str">
        <f t="shared" ref="C3962:C4025" si="96">"230130"</f>
        <v>230130</v>
      </c>
      <c r="D3962" s="9" t="str">
        <f>"230907911"</f>
        <v>230907911</v>
      </c>
      <c r="E3962" s="10">
        <v>56.62</v>
      </c>
      <c r="F3962" s="10"/>
      <c r="G3962" s="10">
        <v>65.5</v>
      </c>
      <c r="H3962" s="10"/>
      <c r="I3962" s="10">
        <v>61.95</v>
      </c>
    </row>
    <row r="3963" spans="1:9" s="3" customFormat="1" ht="21.75" customHeight="1">
      <c r="A3963" s="8" t="s">
        <v>23</v>
      </c>
      <c r="B3963" s="8" t="s">
        <v>10</v>
      </c>
      <c r="C3963" s="9" t="str">
        <f t="shared" si="96"/>
        <v>230130</v>
      </c>
      <c r="D3963" s="9" t="str">
        <f>"230907823"</f>
        <v>230907823</v>
      </c>
      <c r="E3963" s="10">
        <v>67.209999999999994</v>
      </c>
      <c r="F3963" s="10"/>
      <c r="G3963" s="10">
        <v>58</v>
      </c>
      <c r="H3963" s="10"/>
      <c r="I3963" s="10">
        <v>61.68</v>
      </c>
    </row>
    <row r="3964" spans="1:9" s="2" customFormat="1" ht="21.75" customHeight="1">
      <c r="A3964" s="8" t="s">
        <v>23</v>
      </c>
      <c r="B3964" s="8" t="s">
        <v>10</v>
      </c>
      <c r="C3964" s="9" t="str">
        <f t="shared" si="96"/>
        <v>230130</v>
      </c>
      <c r="D3964" s="9" t="str">
        <f>"230907705"</f>
        <v>230907705</v>
      </c>
      <c r="E3964" s="10">
        <v>60.88</v>
      </c>
      <c r="F3964" s="10"/>
      <c r="G3964" s="10">
        <v>61.5</v>
      </c>
      <c r="H3964" s="10"/>
      <c r="I3964" s="10">
        <v>61.25</v>
      </c>
    </row>
    <row r="3965" spans="1:9" s="3" customFormat="1" ht="21.75" customHeight="1">
      <c r="A3965" s="8" t="s">
        <v>23</v>
      </c>
      <c r="B3965" s="8" t="s">
        <v>10</v>
      </c>
      <c r="C3965" s="9" t="str">
        <f t="shared" si="96"/>
        <v>230130</v>
      </c>
      <c r="D3965" s="9" t="str">
        <f>"230907217"</f>
        <v>230907217</v>
      </c>
      <c r="E3965" s="10">
        <v>48.76</v>
      </c>
      <c r="F3965" s="10"/>
      <c r="G3965" s="10">
        <v>69</v>
      </c>
      <c r="H3965" s="10"/>
      <c r="I3965" s="10">
        <v>60.9</v>
      </c>
    </row>
    <row r="3966" spans="1:9" s="2" customFormat="1" ht="21.75" customHeight="1">
      <c r="A3966" s="8" t="s">
        <v>23</v>
      </c>
      <c r="B3966" s="8" t="s">
        <v>10</v>
      </c>
      <c r="C3966" s="9" t="str">
        <f t="shared" si="96"/>
        <v>230130</v>
      </c>
      <c r="D3966" s="9" t="str">
        <f>"230907219"</f>
        <v>230907219</v>
      </c>
      <c r="E3966" s="10">
        <v>46.3</v>
      </c>
      <c r="F3966" s="10"/>
      <c r="G3966" s="10">
        <v>69.5</v>
      </c>
      <c r="H3966" s="10"/>
      <c r="I3966" s="10">
        <v>60.22</v>
      </c>
    </row>
    <row r="3967" spans="1:9" s="2" customFormat="1" ht="21.75" customHeight="1">
      <c r="A3967" s="8" t="s">
        <v>23</v>
      </c>
      <c r="B3967" s="8" t="s">
        <v>10</v>
      </c>
      <c r="C3967" s="9" t="str">
        <f t="shared" si="96"/>
        <v>230130</v>
      </c>
      <c r="D3967" s="9" t="str">
        <f>"230907630"</f>
        <v>230907630</v>
      </c>
      <c r="E3967" s="10">
        <v>54.82</v>
      </c>
      <c r="F3967" s="10"/>
      <c r="G3967" s="10">
        <v>63.5</v>
      </c>
      <c r="H3967" s="10"/>
      <c r="I3967" s="10">
        <v>60.03</v>
      </c>
    </row>
    <row r="3968" spans="1:9" s="3" customFormat="1" ht="21.75" customHeight="1">
      <c r="A3968" s="8" t="s">
        <v>23</v>
      </c>
      <c r="B3968" s="8" t="s">
        <v>10</v>
      </c>
      <c r="C3968" s="9" t="str">
        <f t="shared" si="96"/>
        <v>230130</v>
      </c>
      <c r="D3968" s="9" t="str">
        <f>"230907320"</f>
        <v>230907320</v>
      </c>
      <c r="E3968" s="10">
        <v>47.71</v>
      </c>
      <c r="F3968" s="10"/>
      <c r="G3968" s="10">
        <v>67.5</v>
      </c>
      <c r="H3968" s="10"/>
      <c r="I3968" s="10">
        <v>59.58</v>
      </c>
    </row>
    <row r="3969" spans="1:9" s="2" customFormat="1" ht="21.75" customHeight="1">
      <c r="A3969" s="8" t="s">
        <v>23</v>
      </c>
      <c r="B3969" s="8" t="s">
        <v>10</v>
      </c>
      <c r="C3969" s="9" t="str">
        <f t="shared" si="96"/>
        <v>230130</v>
      </c>
      <c r="D3969" s="9" t="str">
        <f>"230907710"</f>
        <v>230907710</v>
      </c>
      <c r="E3969" s="10">
        <v>52.95</v>
      </c>
      <c r="F3969" s="10"/>
      <c r="G3969" s="10">
        <v>64</v>
      </c>
      <c r="H3969" s="10"/>
      <c r="I3969" s="10">
        <v>59.58</v>
      </c>
    </row>
    <row r="3970" spans="1:9" s="2" customFormat="1" ht="21.75" customHeight="1">
      <c r="A3970" s="8" t="s">
        <v>23</v>
      </c>
      <c r="B3970" s="8" t="s">
        <v>10</v>
      </c>
      <c r="C3970" s="9" t="str">
        <f t="shared" si="96"/>
        <v>230130</v>
      </c>
      <c r="D3970" s="9" t="str">
        <f>"230907628"</f>
        <v>230907628</v>
      </c>
      <c r="E3970" s="10">
        <v>68.47</v>
      </c>
      <c r="F3970" s="10"/>
      <c r="G3970" s="10">
        <v>52.5</v>
      </c>
      <c r="H3970" s="10"/>
      <c r="I3970" s="10">
        <v>58.89</v>
      </c>
    </row>
    <row r="3971" spans="1:9" s="3" customFormat="1" ht="21.75" customHeight="1">
      <c r="A3971" s="8" t="s">
        <v>23</v>
      </c>
      <c r="B3971" s="8" t="s">
        <v>10</v>
      </c>
      <c r="C3971" s="9" t="str">
        <f t="shared" si="96"/>
        <v>230130</v>
      </c>
      <c r="D3971" s="9" t="str">
        <f>"230907526"</f>
        <v>230907526</v>
      </c>
      <c r="E3971" s="10">
        <v>35.270000000000003</v>
      </c>
      <c r="F3971" s="10"/>
      <c r="G3971" s="10">
        <v>72.5</v>
      </c>
      <c r="H3971" s="10"/>
      <c r="I3971" s="10">
        <v>57.61</v>
      </c>
    </row>
    <row r="3972" spans="1:9" s="2" customFormat="1" ht="21.75" customHeight="1">
      <c r="A3972" s="8" t="s">
        <v>23</v>
      </c>
      <c r="B3972" s="8" t="s">
        <v>10</v>
      </c>
      <c r="C3972" s="9" t="str">
        <f t="shared" si="96"/>
        <v>230130</v>
      </c>
      <c r="D3972" s="9" t="str">
        <f>"230907604"</f>
        <v>230907604</v>
      </c>
      <c r="E3972" s="10">
        <v>65.03</v>
      </c>
      <c r="F3972" s="10"/>
      <c r="G3972" s="10">
        <v>49.5</v>
      </c>
      <c r="H3972" s="10"/>
      <c r="I3972" s="10">
        <v>55.71</v>
      </c>
    </row>
    <row r="3973" spans="1:9" s="3" customFormat="1" ht="21.75" customHeight="1">
      <c r="A3973" s="8" t="s">
        <v>23</v>
      </c>
      <c r="B3973" s="8" t="s">
        <v>10</v>
      </c>
      <c r="C3973" s="9" t="str">
        <f t="shared" si="96"/>
        <v>230130</v>
      </c>
      <c r="D3973" s="9" t="str">
        <f>"230907430"</f>
        <v>230907430</v>
      </c>
      <c r="E3973" s="10">
        <v>52.18</v>
      </c>
      <c r="F3973" s="10"/>
      <c r="G3973" s="10">
        <v>56.5</v>
      </c>
      <c r="H3973" s="10"/>
      <c r="I3973" s="10">
        <v>54.77</v>
      </c>
    </row>
    <row r="3974" spans="1:9" s="2" customFormat="1" ht="21.75" customHeight="1">
      <c r="A3974" s="8" t="s">
        <v>23</v>
      </c>
      <c r="B3974" s="8" t="s">
        <v>10</v>
      </c>
      <c r="C3974" s="9" t="str">
        <f t="shared" si="96"/>
        <v>230130</v>
      </c>
      <c r="D3974" s="9" t="str">
        <f>"230907726"</f>
        <v>230907726</v>
      </c>
      <c r="E3974" s="10">
        <v>45.35</v>
      </c>
      <c r="F3974" s="10"/>
      <c r="G3974" s="10">
        <v>59</v>
      </c>
      <c r="H3974" s="10"/>
      <c r="I3974" s="10">
        <v>53.54</v>
      </c>
    </row>
    <row r="3975" spans="1:9" s="2" customFormat="1" ht="21.75" customHeight="1">
      <c r="A3975" s="8" t="s">
        <v>23</v>
      </c>
      <c r="B3975" s="8" t="s">
        <v>10</v>
      </c>
      <c r="C3975" s="9" t="str">
        <f t="shared" si="96"/>
        <v>230130</v>
      </c>
      <c r="D3975" s="9" t="str">
        <f>"230907610"</f>
        <v>230907610</v>
      </c>
      <c r="E3975" s="10">
        <v>45.83</v>
      </c>
      <c r="F3975" s="10"/>
      <c r="G3975" s="10">
        <v>57.5</v>
      </c>
      <c r="H3975" s="10"/>
      <c r="I3975" s="10">
        <v>52.83</v>
      </c>
    </row>
    <row r="3976" spans="1:9" s="2" customFormat="1" ht="21.75" customHeight="1">
      <c r="A3976" s="8" t="s">
        <v>23</v>
      </c>
      <c r="B3976" s="8" t="s">
        <v>10</v>
      </c>
      <c r="C3976" s="9" t="str">
        <f t="shared" si="96"/>
        <v>230130</v>
      </c>
      <c r="D3976" s="9" t="str">
        <f>"230907712"</f>
        <v>230907712</v>
      </c>
      <c r="E3976" s="10">
        <v>36.799999999999997</v>
      </c>
      <c r="F3976" s="10"/>
      <c r="G3976" s="10">
        <v>63.5</v>
      </c>
      <c r="H3976" s="10"/>
      <c r="I3976" s="10">
        <v>52.82</v>
      </c>
    </row>
    <row r="3977" spans="1:9" s="2" customFormat="1" ht="21.75" customHeight="1">
      <c r="A3977" s="8" t="s">
        <v>23</v>
      </c>
      <c r="B3977" s="8" t="s">
        <v>10</v>
      </c>
      <c r="C3977" s="9" t="str">
        <f t="shared" si="96"/>
        <v>230130</v>
      </c>
      <c r="D3977" s="9" t="str">
        <f>"230907825"</f>
        <v>230907825</v>
      </c>
      <c r="E3977" s="10">
        <v>57.77</v>
      </c>
      <c r="F3977" s="10"/>
      <c r="G3977" s="10">
        <v>0</v>
      </c>
      <c r="H3977" s="10"/>
      <c r="I3977" s="10">
        <v>23.11</v>
      </c>
    </row>
    <row r="3978" spans="1:9" s="3" customFormat="1" ht="21.75" customHeight="1">
      <c r="A3978" s="8" t="s">
        <v>23</v>
      </c>
      <c r="B3978" s="8" t="s">
        <v>10</v>
      </c>
      <c r="C3978" s="9" t="str">
        <f t="shared" si="96"/>
        <v>230130</v>
      </c>
      <c r="D3978" s="9" t="str">
        <f>"230907025"</f>
        <v>230907025</v>
      </c>
      <c r="E3978" s="10">
        <v>0</v>
      </c>
      <c r="F3978" s="10"/>
      <c r="G3978" s="10">
        <v>0</v>
      </c>
      <c r="H3978" s="10"/>
      <c r="I3978" s="10">
        <v>0</v>
      </c>
    </row>
    <row r="3979" spans="1:9" s="3" customFormat="1" ht="21.75" customHeight="1">
      <c r="A3979" s="8" t="s">
        <v>23</v>
      </c>
      <c r="B3979" s="8" t="s">
        <v>10</v>
      </c>
      <c r="C3979" s="9" t="str">
        <f t="shared" si="96"/>
        <v>230130</v>
      </c>
      <c r="D3979" s="9" t="str">
        <f>"230907030"</f>
        <v>230907030</v>
      </c>
      <c r="E3979" s="10">
        <v>0</v>
      </c>
      <c r="F3979" s="10"/>
      <c r="G3979" s="10">
        <v>0</v>
      </c>
      <c r="H3979" s="10"/>
      <c r="I3979" s="10">
        <v>0</v>
      </c>
    </row>
    <row r="3980" spans="1:9" s="2" customFormat="1" ht="21.75" customHeight="1">
      <c r="A3980" s="8" t="s">
        <v>23</v>
      </c>
      <c r="B3980" s="8" t="s">
        <v>10</v>
      </c>
      <c r="C3980" s="9" t="str">
        <f t="shared" si="96"/>
        <v>230130</v>
      </c>
      <c r="D3980" s="9" t="str">
        <f>"230907102"</f>
        <v>230907102</v>
      </c>
      <c r="E3980" s="10">
        <v>0</v>
      </c>
      <c r="F3980" s="10"/>
      <c r="G3980" s="10">
        <v>0</v>
      </c>
      <c r="H3980" s="10"/>
      <c r="I3980" s="10">
        <v>0</v>
      </c>
    </row>
    <row r="3981" spans="1:9" s="3" customFormat="1" ht="21.75" customHeight="1">
      <c r="A3981" s="8" t="s">
        <v>23</v>
      </c>
      <c r="B3981" s="8" t="s">
        <v>10</v>
      </c>
      <c r="C3981" s="9" t="str">
        <f t="shared" si="96"/>
        <v>230130</v>
      </c>
      <c r="D3981" s="9" t="str">
        <f>"230907106"</f>
        <v>230907106</v>
      </c>
      <c r="E3981" s="10">
        <v>0</v>
      </c>
      <c r="F3981" s="10"/>
      <c r="G3981" s="10">
        <v>0</v>
      </c>
      <c r="H3981" s="10"/>
      <c r="I3981" s="10">
        <v>0</v>
      </c>
    </row>
    <row r="3982" spans="1:9" s="3" customFormat="1" ht="21.75" customHeight="1">
      <c r="A3982" s="8" t="s">
        <v>23</v>
      </c>
      <c r="B3982" s="8" t="s">
        <v>10</v>
      </c>
      <c r="C3982" s="9" t="str">
        <f t="shared" si="96"/>
        <v>230130</v>
      </c>
      <c r="D3982" s="9" t="str">
        <f>"230907109"</f>
        <v>230907109</v>
      </c>
      <c r="E3982" s="10">
        <v>0</v>
      </c>
      <c r="F3982" s="10"/>
      <c r="G3982" s="10">
        <v>0</v>
      </c>
      <c r="H3982" s="10"/>
      <c r="I3982" s="10">
        <v>0</v>
      </c>
    </row>
    <row r="3983" spans="1:9" s="2" customFormat="1" ht="21.75" customHeight="1">
      <c r="A3983" s="8" t="s">
        <v>23</v>
      </c>
      <c r="B3983" s="8" t="s">
        <v>10</v>
      </c>
      <c r="C3983" s="9" t="str">
        <f t="shared" si="96"/>
        <v>230130</v>
      </c>
      <c r="D3983" s="9" t="str">
        <f>"230907110"</f>
        <v>230907110</v>
      </c>
      <c r="E3983" s="10">
        <v>0</v>
      </c>
      <c r="F3983" s="10"/>
      <c r="G3983" s="10">
        <v>0</v>
      </c>
      <c r="H3983" s="10"/>
      <c r="I3983" s="10">
        <v>0</v>
      </c>
    </row>
    <row r="3984" spans="1:9" s="2" customFormat="1" ht="21.75" customHeight="1">
      <c r="A3984" s="8" t="s">
        <v>23</v>
      </c>
      <c r="B3984" s="8" t="s">
        <v>10</v>
      </c>
      <c r="C3984" s="9" t="str">
        <f t="shared" si="96"/>
        <v>230130</v>
      </c>
      <c r="D3984" s="9" t="str">
        <f>"230907112"</f>
        <v>230907112</v>
      </c>
      <c r="E3984" s="10">
        <v>0</v>
      </c>
      <c r="F3984" s="10"/>
      <c r="G3984" s="10">
        <v>0</v>
      </c>
      <c r="H3984" s="10"/>
      <c r="I3984" s="10">
        <v>0</v>
      </c>
    </row>
    <row r="3985" spans="1:9" s="3" customFormat="1" ht="21.75" customHeight="1">
      <c r="A3985" s="8" t="s">
        <v>23</v>
      </c>
      <c r="B3985" s="8" t="s">
        <v>10</v>
      </c>
      <c r="C3985" s="9" t="str">
        <f t="shared" si="96"/>
        <v>230130</v>
      </c>
      <c r="D3985" s="9" t="str">
        <f>"230907113"</f>
        <v>230907113</v>
      </c>
      <c r="E3985" s="10">
        <v>0</v>
      </c>
      <c r="F3985" s="10"/>
      <c r="G3985" s="10">
        <v>0</v>
      </c>
      <c r="H3985" s="10"/>
      <c r="I3985" s="10">
        <v>0</v>
      </c>
    </row>
    <row r="3986" spans="1:9" s="2" customFormat="1" ht="21.75" customHeight="1">
      <c r="A3986" s="8" t="s">
        <v>23</v>
      </c>
      <c r="B3986" s="8" t="s">
        <v>10</v>
      </c>
      <c r="C3986" s="9" t="str">
        <f t="shared" si="96"/>
        <v>230130</v>
      </c>
      <c r="D3986" s="9" t="str">
        <f>"230907120"</f>
        <v>230907120</v>
      </c>
      <c r="E3986" s="10">
        <v>0</v>
      </c>
      <c r="F3986" s="10"/>
      <c r="G3986" s="10">
        <v>0</v>
      </c>
      <c r="H3986" s="10"/>
      <c r="I3986" s="10">
        <v>0</v>
      </c>
    </row>
    <row r="3987" spans="1:9" s="2" customFormat="1" ht="21.75" customHeight="1">
      <c r="A3987" s="8" t="s">
        <v>23</v>
      </c>
      <c r="B3987" s="8" t="s">
        <v>10</v>
      </c>
      <c r="C3987" s="9" t="str">
        <f t="shared" si="96"/>
        <v>230130</v>
      </c>
      <c r="D3987" s="9" t="str">
        <f>"230907121"</f>
        <v>230907121</v>
      </c>
      <c r="E3987" s="10">
        <v>0</v>
      </c>
      <c r="F3987" s="10"/>
      <c r="G3987" s="10">
        <v>0</v>
      </c>
      <c r="H3987" s="10"/>
      <c r="I3987" s="10">
        <v>0</v>
      </c>
    </row>
    <row r="3988" spans="1:9" s="2" customFormat="1" ht="21.75" customHeight="1">
      <c r="A3988" s="8" t="s">
        <v>23</v>
      </c>
      <c r="B3988" s="8" t="s">
        <v>10</v>
      </c>
      <c r="C3988" s="9" t="str">
        <f t="shared" si="96"/>
        <v>230130</v>
      </c>
      <c r="D3988" s="9" t="str">
        <f>"230907125"</f>
        <v>230907125</v>
      </c>
      <c r="E3988" s="10">
        <v>0</v>
      </c>
      <c r="F3988" s="10"/>
      <c r="G3988" s="10">
        <v>0</v>
      </c>
      <c r="H3988" s="10"/>
      <c r="I3988" s="10">
        <v>0</v>
      </c>
    </row>
    <row r="3989" spans="1:9" s="3" customFormat="1" ht="21.75" customHeight="1">
      <c r="A3989" s="8" t="s">
        <v>23</v>
      </c>
      <c r="B3989" s="8" t="s">
        <v>10</v>
      </c>
      <c r="C3989" s="9" t="str">
        <f t="shared" si="96"/>
        <v>230130</v>
      </c>
      <c r="D3989" s="9" t="str">
        <f>"230907129"</f>
        <v>230907129</v>
      </c>
      <c r="E3989" s="10">
        <v>0</v>
      </c>
      <c r="F3989" s="10"/>
      <c r="G3989" s="10">
        <v>0</v>
      </c>
      <c r="H3989" s="10"/>
      <c r="I3989" s="10">
        <v>0</v>
      </c>
    </row>
    <row r="3990" spans="1:9" s="2" customFormat="1" ht="21.75" customHeight="1">
      <c r="A3990" s="8" t="s">
        <v>23</v>
      </c>
      <c r="B3990" s="8" t="s">
        <v>10</v>
      </c>
      <c r="C3990" s="9" t="str">
        <f t="shared" si="96"/>
        <v>230130</v>
      </c>
      <c r="D3990" s="9" t="str">
        <f>"230907130"</f>
        <v>230907130</v>
      </c>
      <c r="E3990" s="10">
        <v>0</v>
      </c>
      <c r="F3990" s="10"/>
      <c r="G3990" s="10">
        <v>0</v>
      </c>
      <c r="H3990" s="10"/>
      <c r="I3990" s="10">
        <v>0</v>
      </c>
    </row>
    <row r="3991" spans="1:9" s="2" customFormat="1" ht="21.75" customHeight="1">
      <c r="A3991" s="8" t="s">
        <v>23</v>
      </c>
      <c r="B3991" s="8" t="s">
        <v>10</v>
      </c>
      <c r="C3991" s="9" t="str">
        <f t="shared" si="96"/>
        <v>230130</v>
      </c>
      <c r="D3991" s="9" t="str">
        <f>"230907203"</f>
        <v>230907203</v>
      </c>
      <c r="E3991" s="10">
        <v>0</v>
      </c>
      <c r="F3991" s="10"/>
      <c r="G3991" s="10">
        <v>0</v>
      </c>
      <c r="H3991" s="10"/>
      <c r="I3991" s="10">
        <v>0</v>
      </c>
    </row>
    <row r="3992" spans="1:9" s="3" customFormat="1" ht="21.75" customHeight="1">
      <c r="A3992" s="8" t="s">
        <v>23</v>
      </c>
      <c r="B3992" s="8" t="s">
        <v>10</v>
      </c>
      <c r="C3992" s="9" t="str">
        <f t="shared" si="96"/>
        <v>230130</v>
      </c>
      <c r="D3992" s="9" t="str">
        <f>"230907205"</f>
        <v>230907205</v>
      </c>
      <c r="E3992" s="10">
        <v>0</v>
      </c>
      <c r="F3992" s="10"/>
      <c r="G3992" s="10">
        <v>0</v>
      </c>
      <c r="H3992" s="10"/>
      <c r="I3992" s="10">
        <v>0</v>
      </c>
    </row>
    <row r="3993" spans="1:9" s="3" customFormat="1" ht="21.75" customHeight="1">
      <c r="A3993" s="8" t="s">
        <v>23</v>
      </c>
      <c r="B3993" s="8" t="s">
        <v>10</v>
      </c>
      <c r="C3993" s="9" t="str">
        <f t="shared" si="96"/>
        <v>230130</v>
      </c>
      <c r="D3993" s="9" t="str">
        <f>"230907211"</f>
        <v>230907211</v>
      </c>
      <c r="E3993" s="10">
        <v>0</v>
      </c>
      <c r="F3993" s="10"/>
      <c r="G3993" s="10">
        <v>0</v>
      </c>
      <c r="H3993" s="10"/>
      <c r="I3993" s="10">
        <v>0</v>
      </c>
    </row>
    <row r="3994" spans="1:9" s="2" customFormat="1" ht="21.75" customHeight="1">
      <c r="A3994" s="8" t="s">
        <v>23</v>
      </c>
      <c r="B3994" s="8" t="s">
        <v>10</v>
      </c>
      <c r="C3994" s="9" t="str">
        <f t="shared" si="96"/>
        <v>230130</v>
      </c>
      <c r="D3994" s="9" t="str">
        <f>"230907212"</f>
        <v>230907212</v>
      </c>
      <c r="E3994" s="10">
        <v>0</v>
      </c>
      <c r="F3994" s="10"/>
      <c r="G3994" s="10">
        <v>0</v>
      </c>
      <c r="H3994" s="10"/>
      <c r="I3994" s="10">
        <v>0</v>
      </c>
    </row>
    <row r="3995" spans="1:9" s="2" customFormat="1" ht="21.75" customHeight="1">
      <c r="A3995" s="8" t="s">
        <v>23</v>
      </c>
      <c r="B3995" s="8" t="s">
        <v>10</v>
      </c>
      <c r="C3995" s="9" t="str">
        <f t="shared" si="96"/>
        <v>230130</v>
      </c>
      <c r="D3995" s="9" t="str">
        <f>"230907213"</f>
        <v>230907213</v>
      </c>
      <c r="E3995" s="10">
        <v>0</v>
      </c>
      <c r="F3995" s="10"/>
      <c r="G3995" s="10">
        <v>0</v>
      </c>
      <c r="H3995" s="10"/>
      <c r="I3995" s="10">
        <v>0</v>
      </c>
    </row>
    <row r="3996" spans="1:9" s="2" customFormat="1" ht="21.75" customHeight="1">
      <c r="A3996" s="8" t="s">
        <v>23</v>
      </c>
      <c r="B3996" s="8" t="s">
        <v>10</v>
      </c>
      <c r="C3996" s="9" t="str">
        <f t="shared" si="96"/>
        <v>230130</v>
      </c>
      <c r="D3996" s="9" t="str">
        <f>"230907214"</f>
        <v>230907214</v>
      </c>
      <c r="E3996" s="10">
        <v>0</v>
      </c>
      <c r="F3996" s="10"/>
      <c r="G3996" s="10">
        <v>0</v>
      </c>
      <c r="H3996" s="10"/>
      <c r="I3996" s="10">
        <v>0</v>
      </c>
    </row>
    <row r="3997" spans="1:9" s="2" customFormat="1" ht="21.75" customHeight="1">
      <c r="A3997" s="8" t="s">
        <v>23</v>
      </c>
      <c r="B3997" s="8" t="s">
        <v>10</v>
      </c>
      <c r="C3997" s="9" t="str">
        <f t="shared" si="96"/>
        <v>230130</v>
      </c>
      <c r="D3997" s="9" t="str">
        <f>"230907215"</f>
        <v>230907215</v>
      </c>
      <c r="E3997" s="10">
        <v>0</v>
      </c>
      <c r="F3997" s="10"/>
      <c r="G3997" s="10">
        <v>0</v>
      </c>
      <c r="H3997" s="10"/>
      <c r="I3997" s="10">
        <v>0</v>
      </c>
    </row>
    <row r="3998" spans="1:9" s="2" customFormat="1" ht="21.75" customHeight="1">
      <c r="A3998" s="8" t="s">
        <v>23</v>
      </c>
      <c r="B3998" s="8" t="s">
        <v>10</v>
      </c>
      <c r="C3998" s="9" t="str">
        <f t="shared" si="96"/>
        <v>230130</v>
      </c>
      <c r="D3998" s="9" t="str">
        <f>"230907216"</f>
        <v>230907216</v>
      </c>
      <c r="E3998" s="10">
        <v>0</v>
      </c>
      <c r="F3998" s="10"/>
      <c r="G3998" s="10">
        <v>0</v>
      </c>
      <c r="H3998" s="10"/>
      <c r="I3998" s="10">
        <v>0</v>
      </c>
    </row>
    <row r="3999" spans="1:9" s="2" customFormat="1" ht="21.75" customHeight="1">
      <c r="A3999" s="8" t="s">
        <v>23</v>
      </c>
      <c r="B3999" s="8" t="s">
        <v>10</v>
      </c>
      <c r="C3999" s="9" t="str">
        <f t="shared" si="96"/>
        <v>230130</v>
      </c>
      <c r="D3999" s="9" t="str">
        <f>"230907221"</f>
        <v>230907221</v>
      </c>
      <c r="E3999" s="10">
        <v>0</v>
      </c>
      <c r="F3999" s="10"/>
      <c r="G3999" s="10">
        <v>0</v>
      </c>
      <c r="H3999" s="10"/>
      <c r="I3999" s="10">
        <v>0</v>
      </c>
    </row>
    <row r="4000" spans="1:9" s="2" customFormat="1" ht="21.75" customHeight="1">
      <c r="A4000" s="8" t="s">
        <v>23</v>
      </c>
      <c r="B4000" s="8" t="s">
        <v>10</v>
      </c>
      <c r="C4000" s="9" t="str">
        <f t="shared" si="96"/>
        <v>230130</v>
      </c>
      <c r="D4000" s="9" t="str">
        <f>"230907225"</f>
        <v>230907225</v>
      </c>
      <c r="E4000" s="10">
        <v>0</v>
      </c>
      <c r="F4000" s="10"/>
      <c r="G4000" s="10">
        <v>0</v>
      </c>
      <c r="H4000" s="10"/>
      <c r="I4000" s="10">
        <v>0</v>
      </c>
    </row>
    <row r="4001" spans="1:9" s="2" customFormat="1" ht="21.75" customHeight="1">
      <c r="A4001" s="8" t="s">
        <v>23</v>
      </c>
      <c r="B4001" s="8" t="s">
        <v>10</v>
      </c>
      <c r="C4001" s="9" t="str">
        <f t="shared" si="96"/>
        <v>230130</v>
      </c>
      <c r="D4001" s="9" t="str">
        <f>"230907311"</f>
        <v>230907311</v>
      </c>
      <c r="E4001" s="10">
        <v>0</v>
      </c>
      <c r="F4001" s="10"/>
      <c r="G4001" s="10">
        <v>0</v>
      </c>
      <c r="H4001" s="10"/>
      <c r="I4001" s="10">
        <v>0</v>
      </c>
    </row>
    <row r="4002" spans="1:9" s="2" customFormat="1" ht="21.75" customHeight="1">
      <c r="A4002" s="8" t="s">
        <v>23</v>
      </c>
      <c r="B4002" s="8" t="s">
        <v>10</v>
      </c>
      <c r="C4002" s="9" t="str">
        <f t="shared" si="96"/>
        <v>230130</v>
      </c>
      <c r="D4002" s="9" t="str">
        <f>"230907314"</f>
        <v>230907314</v>
      </c>
      <c r="E4002" s="10">
        <v>0</v>
      </c>
      <c r="F4002" s="10"/>
      <c r="G4002" s="10">
        <v>0</v>
      </c>
      <c r="H4002" s="10"/>
      <c r="I4002" s="10">
        <v>0</v>
      </c>
    </row>
    <row r="4003" spans="1:9" s="3" customFormat="1" ht="21.75" customHeight="1">
      <c r="A4003" s="8" t="s">
        <v>23</v>
      </c>
      <c r="B4003" s="8" t="s">
        <v>10</v>
      </c>
      <c r="C4003" s="9" t="str">
        <f t="shared" si="96"/>
        <v>230130</v>
      </c>
      <c r="D4003" s="9" t="str">
        <f>"230907315"</f>
        <v>230907315</v>
      </c>
      <c r="E4003" s="10">
        <v>0</v>
      </c>
      <c r="F4003" s="10"/>
      <c r="G4003" s="10">
        <v>0</v>
      </c>
      <c r="H4003" s="10"/>
      <c r="I4003" s="10">
        <v>0</v>
      </c>
    </row>
    <row r="4004" spans="1:9" s="3" customFormat="1" ht="21.75" customHeight="1">
      <c r="A4004" s="8" t="s">
        <v>23</v>
      </c>
      <c r="B4004" s="8" t="s">
        <v>10</v>
      </c>
      <c r="C4004" s="9" t="str">
        <f t="shared" si="96"/>
        <v>230130</v>
      </c>
      <c r="D4004" s="9" t="str">
        <f>"230907318"</f>
        <v>230907318</v>
      </c>
      <c r="E4004" s="10">
        <v>0</v>
      </c>
      <c r="F4004" s="10"/>
      <c r="G4004" s="10">
        <v>0</v>
      </c>
      <c r="H4004" s="10"/>
      <c r="I4004" s="10">
        <v>0</v>
      </c>
    </row>
    <row r="4005" spans="1:9" s="2" customFormat="1" ht="21.75" customHeight="1">
      <c r="A4005" s="8" t="s">
        <v>23</v>
      </c>
      <c r="B4005" s="8" t="s">
        <v>10</v>
      </c>
      <c r="C4005" s="9" t="str">
        <f t="shared" si="96"/>
        <v>230130</v>
      </c>
      <c r="D4005" s="9" t="str">
        <f>"230907319"</f>
        <v>230907319</v>
      </c>
      <c r="E4005" s="10">
        <v>0</v>
      </c>
      <c r="F4005" s="10"/>
      <c r="G4005" s="10">
        <v>0</v>
      </c>
      <c r="H4005" s="10"/>
      <c r="I4005" s="10">
        <v>0</v>
      </c>
    </row>
    <row r="4006" spans="1:9" s="2" customFormat="1" ht="21.75" customHeight="1">
      <c r="A4006" s="8" t="s">
        <v>23</v>
      </c>
      <c r="B4006" s="8" t="s">
        <v>10</v>
      </c>
      <c r="C4006" s="9" t="str">
        <f t="shared" si="96"/>
        <v>230130</v>
      </c>
      <c r="D4006" s="9" t="str">
        <f>"230907322"</f>
        <v>230907322</v>
      </c>
      <c r="E4006" s="10">
        <v>0</v>
      </c>
      <c r="F4006" s="10"/>
      <c r="G4006" s="10">
        <v>0</v>
      </c>
      <c r="H4006" s="10"/>
      <c r="I4006" s="10">
        <v>0</v>
      </c>
    </row>
    <row r="4007" spans="1:9" s="2" customFormat="1" ht="21.75" customHeight="1">
      <c r="A4007" s="8" t="s">
        <v>23</v>
      </c>
      <c r="B4007" s="8" t="s">
        <v>10</v>
      </c>
      <c r="C4007" s="9" t="str">
        <f t="shared" si="96"/>
        <v>230130</v>
      </c>
      <c r="D4007" s="9" t="str">
        <f>"230907323"</f>
        <v>230907323</v>
      </c>
      <c r="E4007" s="10">
        <v>0</v>
      </c>
      <c r="F4007" s="10"/>
      <c r="G4007" s="10">
        <v>0</v>
      </c>
      <c r="H4007" s="10"/>
      <c r="I4007" s="10">
        <v>0</v>
      </c>
    </row>
    <row r="4008" spans="1:9" s="2" customFormat="1" ht="21.75" customHeight="1">
      <c r="A4008" s="8" t="s">
        <v>23</v>
      </c>
      <c r="B4008" s="8" t="s">
        <v>10</v>
      </c>
      <c r="C4008" s="9" t="str">
        <f t="shared" si="96"/>
        <v>230130</v>
      </c>
      <c r="D4008" s="9" t="str">
        <f>"230907326"</f>
        <v>230907326</v>
      </c>
      <c r="E4008" s="10">
        <v>0</v>
      </c>
      <c r="F4008" s="10"/>
      <c r="G4008" s="10">
        <v>0</v>
      </c>
      <c r="H4008" s="10"/>
      <c r="I4008" s="10">
        <v>0</v>
      </c>
    </row>
    <row r="4009" spans="1:9" s="2" customFormat="1" ht="21.75" customHeight="1">
      <c r="A4009" s="8" t="s">
        <v>23</v>
      </c>
      <c r="B4009" s="8" t="s">
        <v>10</v>
      </c>
      <c r="C4009" s="9" t="str">
        <f t="shared" si="96"/>
        <v>230130</v>
      </c>
      <c r="D4009" s="9" t="str">
        <f>"230907402"</f>
        <v>230907402</v>
      </c>
      <c r="E4009" s="10">
        <v>0</v>
      </c>
      <c r="F4009" s="10"/>
      <c r="G4009" s="10">
        <v>0</v>
      </c>
      <c r="H4009" s="10"/>
      <c r="I4009" s="10">
        <v>0</v>
      </c>
    </row>
    <row r="4010" spans="1:9" s="3" customFormat="1" ht="21.75" customHeight="1">
      <c r="A4010" s="8" t="s">
        <v>23</v>
      </c>
      <c r="B4010" s="8" t="s">
        <v>10</v>
      </c>
      <c r="C4010" s="9" t="str">
        <f t="shared" si="96"/>
        <v>230130</v>
      </c>
      <c r="D4010" s="9" t="str">
        <f>"230907405"</f>
        <v>230907405</v>
      </c>
      <c r="E4010" s="10">
        <v>0</v>
      </c>
      <c r="F4010" s="10"/>
      <c r="G4010" s="10">
        <v>0</v>
      </c>
      <c r="H4010" s="10"/>
      <c r="I4010" s="10">
        <v>0</v>
      </c>
    </row>
    <row r="4011" spans="1:9" s="3" customFormat="1" ht="21.75" customHeight="1">
      <c r="A4011" s="8" t="s">
        <v>23</v>
      </c>
      <c r="B4011" s="8" t="s">
        <v>10</v>
      </c>
      <c r="C4011" s="9" t="str">
        <f t="shared" si="96"/>
        <v>230130</v>
      </c>
      <c r="D4011" s="9" t="str">
        <f>"230907406"</f>
        <v>230907406</v>
      </c>
      <c r="E4011" s="10">
        <v>0</v>
      </c>
      <c r="F4011" s="10"/>
      <c r="G4011" s="10">
        <v>0</v>
      </c>
      <c r="H4011" s="10"/>
      <c r="I4011" s="10">
        <v>0</v>
      </c>
    </row>
    <row r="4012" spans="1:9" s="3" customFormat="1" ht="21.75" customHeight="1">
      <c r="A4012" s="8" t="s">
        <v>23</v>
      </c>
      <c r="B4012" s="8" t="s">
        <v>10</v>
      </c>
      <c r="C4012" s="9" t="str">
        <f t="shared" si="96"/>
        <v>230130</v>
      </c>
      <c r="D4012" s="9" t="str">
        <f>"230907409"</f>
        <v>230907409</v>
      </c>
      <c r="E4012" s="10">
        <v>0</v>
      </c>
      <c r="F4012" s="10"/>
      <c r="G4012" s="10">
        <v>0</v>
      </c>
      <c r="H4012" s="10"/>
      <c r="I4012" s="10">
        <v>0</v>
      </c>
    </row>
    <row r="4013" spans="1:9" s="2" customFormat="1" ht="21.75" customHeight="1">
      <c r="A4013" s="8" t="s">
        <v>23</v>
      </c>
      <c r="B4013" s="8" t="s">
        <v>10</v>
      </c>
      <c r="C4013" s="9" t="str">
        <f t="shared" si="96"/>
        <v>230130</v>
      </c>
      <c r="D4013" s="9" t="str">
        <f>"230907414"</f>
        <v>230907414</v>
      </c>
      <c r="E4013" s="10">
        <v>0</v>
      </c>
      <c r="F4013" s="10"/>
      <c r="G4013" s="10">
        <v>0</v>
      </c>
      <c r="H4013" s="10"/>
      <c r="I4013" s="10">
        <v>0</v>
      </c>
    </row>
    <row r="4014" spans="1:9" s="3" customFormat="1" ht="21.75" customHeight="1">
      <c r="A4014" s="8" t="s">
        <v>23</v>
      </c>
      <c r="B4014" s="8" t="s">
        <v>10</v>
      </c>
      <c r="C4014" s="9" t="str">
        <f t="shared" si="96"/>
        <v>230130</v>
      </c>
      <c r="D4014" s="9" t="str">
        <f>"230907420"</f>
        <v>230907420</v>
      </c>
      <c r="E4014" s="10">
        <v>0</v>
      </c>
      <c r="F4014" s="10"/>
      <c r="G4014" s="10">
        <v>0</v>
      </c>
      <c r="H4014" s="10"/>
      <c r="I4014" s="10">
        <v>0</v>
      </c>
    </row>
    <row r="4015" spans="1:9" s="2" customFormat="1" ht="21.75" customHeight="1">
      <c r="A4015" s="8" t="s">
        <v>23</v>
      </c>
      <c r="B4015" s="8" t="s">
        <v>10</v>
      </c>
      <c r="C4015" s="9" t="str">
        <f t="shared" si="96"/>
        <v>230130</v>
      </c>
      <c r="D4015" s="9" t="str">
        <f>"230907426"</f>
        <v>230907426</v>
      </c>
      <c r="E4015" s="10">
        <v>0</v>
      </c>
      <c r="F4015" s="10"/>
      <c r="G4015" s="10">
        <v>0</v>
      </c>
      <c r="H4015" s="10"/>
      <c r="I4015" s="10">
        <v>0</v>
      </c>
    </row>
    <row r="4016" spans="1:9" s="3" customFormat="1" ht="21.75" customHeight="1">
      <c r="A4016" s="8" t="s">
        <v>23</v>
      </c>
      <c r="B4016" s="8" t="s">
        <v>10</v>
      </c>
      <c r="C4016" s="9" t="str">
        <f t="shared" si="96"/>
        <v>230130</v>
      </c>
      <c r="D4016" s="9" t="str">
        <f>"230907427"</f>
        <v>230907427</v>
      </c>
      <c r="E4016" s="10">
        <v>0</v>
      </c>
      <c r="F4016" s="10"/>
      <c r="G4016" s="10">
        <v>0</v>
      </c>
      <c r="H4016" s="10"/>
      <c r="I4016" s="10">
        <v>0</v>
      </c>
    </row>
    <row r="4017" spans="1:9" s="2" customFormat="1" ht="21.75" customHeight="1">
      <c r="A4017" s="8" t="s">
        <v>23</v>
      </c>
      <c r="B4017" s="8" t="s">
        <v>10</v>
      </c>
      <c r="C4017" s="9" t="str">
        <f t="shared" si="96"/>
        <v>230130</v>
      </c>
      <c r="D4017" s="9" t="str">
        <f>"230907428"</f>
        <v>230907428</v>
      </c>
      <c r="E4017" s="10">
        <v>0</v>
      </c>
      <c r="F4017" s="10"/>
      <c r="G4017" s="10">
        <v>0</v>
      </c>
      <c r="H4017" s="10"/>
      <c r="I4017" s="10">
        <v>0</v>
      </c>
    </row>
    <row r="4018" spans="1:9" s="2" customFormat="1" ht="21.75" customHeight="1">
      <c r="A4018" s="8" t="s">
        <v>23</v>
      </c>
      <c r="B4018" s="8" t="s">
        <v>10</v>
      </c>
      <c r="C4018" s="9" t="str">
        <f t="shared" si="96"/>
        <v>230130</v>
      </c>
      <c r="D4018" s="9" t="str">
        <f>"230907502"</f>
        <v>230907502</v>
      </c>
      <c r="E4018" s="10">
        <v>0</v>
      </c>
      <c r="F4018" s="10"/>
      <c r="G4018" s="10">
        <v>0</v>
      </c>
      <c r="H4018" s="10"/>
      <c r="I4018" s="10">
        <v>0</v>
      </c>
    </row>
    <row r="4019" spans="1:9" s="3" customFormat="1" ht="21.75" customHeight="1">
      <c r="A4019" s="8" t="s">
        <v>23</v>
      </c>
      <c r="B4019" s="8" t="s">
        <v>10</v>
      </c>
      <c r="C4019" s="9" t="str">
        <f t="shared" si="96"/>
        <v>230130</v>
      </c>
      <c r="D4019" s="9" t="str">
        <f>"230907503"</f>
        <v>230907503</v>
      </c>
      <c r="E4019" s="10">
        <v>0</v>
      </c>
      <c r="F4019" s="10"/>
      <c r="G4019" s="10">
        <v>0</v>
      </c>
      <c r="H4019" s="10"/>
      <c r="I4019" s="10">
        <v>0</v>
      </c>
    </row>
    <row r="4020" spans="1:9" s="2" customFormat="1" ht="21.75" customHeight="1">
      <c r="A4020" s="8" t="s">
        <v>23</v>
      </c>
      <c r="B4020" s="8" t="s">
        <v>10</v>
      </c>
      <c r="C4020" s="9" t="str">
        <f t="shared" si="96"/>
        <v>230130</v>
      </c>
      <c r="D4020" s="9" t="str">
        <f>"230907504"</f>
        <v>230907504</v>
      </c>
      <c r="E4020" s="10">
        <v>0</v>
      </c>
      <c r="F4020" s="10"/>
      <c r="G4020" s="10">
        <v>0</v>
      </c>
      <c r="H4020" s="10"/>
      <c r="I4020" s="10">
        <v>0</v>
      </c>
    </row>
    <row r="4021" spans="1:9" s="2" customFormat="1" ht="21.75" customHeight="1">
      <c r="A4021" s="8" t="s">
        <v>23</v>
      </c>
      <c r="B4021" s="8" t="s">
        <v>10</v>
      </c>
      <c r="C4021" s="9" t="str">
        <f t="shared" si="96"/>
        <v>230130</v>
      </c>
      <c r="D4021" s="9" t="str">
        <f>"230907505"</f>
        <v>230907505</v>
      </c>
      <c r="E4021" s="10">
        <v>0</v>
      </c>
      <c r="F4021" s="10"/>
      <c r="G4021" s="10">
        <v>0</v>
      </c>
      <c r="H4021" s="10"/>
      <c r="I4021" s="10">
        <v>0</v>
      </c>
    </row>
    <row r="4022" spans="1:9" s="2" customFormat="1" ht="21.75" customHeight="1">
      <c r="A4022" s="8" t="s">
        <v>23</v>
      </c>
      <c r="B4022" s="8" t="s">
        <v>10</v>
      </c>
      <c r="C4022" s="9" t="str">
        <f t="shared" si="96"/>
        <v>230130</v>
      </c>
      <c r="D4022" s="9" t="str">
        <f>"230907507"</f>
        <v>230907507</v>
      </c>
      <c r="E4022" s="10">
        <v>0</v>
      </c>
      <c r="F4022" s="10"/>
      <c r="G4022" s="10">
        <v>0</v>
      </c>
      <c r="H4022" s="10"/>
      <c r="I4022" s="10">
        <v>0</v>
      </c>
    </row>
    <row r="4023" spans="1:9" s="3" customFormat="1" ht="21.75" customHeight="1">
      <c r="A4023" s="8" t="s">
        <v>23</v>
      </c>
      <c r="B4023" s="8" t="s">
        <v>10</v>
      </c>
      <c r="C4023" s="9" t="str">
        <f t="shared" si="96"/>
        <v>230130</v>
      </c>
      <c r="D4023" s="9" t="str">
        <f>"230907509"</f>
        <v>230907509</v>
      </c>
      <c r="E4023" s="10">
        <v>0</v>
      </c>
      <c r="F4023" s="10"/>
      <c r="G4023" s="10">
        <v>0</v>
      </c>
      <c r="H4023" s="10"/>
      <c r="I4023" s="10">
        <v>0</v>
      </c>
    </row>
    <row r="4024" spans="1:9" s="2" customFormat="1" ht="21.75" customHeight="1">
      <c r="A4024" s="8" t="s">
        <v>23</v>
      </c>
      <c r="B4024" s="8" t="s">
        <v>10</v>
      </c>
      <c r="C4024" s="9" t="str">
        <f t="shared" si="96"/>
        <v>230130</v>
      </c>
      <c r="D4024" s="9" t="str">
        <f>"230907513"</f>
        <v>230907513</v>
      </c>
      <c r="E4024" s="10">
        <v>0</v>
      </c>
      <c r="F4024" s="10"/>
      <c r="G4024" s="10">
        <v>0</v>
      </c>
      <c r="H4024" s="10"/>
      <c r="I4024" s="10">
        <v>0</v>
      </c>
    </row>
    <row r="4025" spans="1:9" s="2" customFormat="1" ht="21.75" customHeight="1">
      <c r="A4025" s="8" t="s">
        <v>23</v>
      </c>
      <c r="B4025" s="8" t="s">
        <v>10</v>
      </c>
      <c r="C4025" s="9" t="str">
        <f t="shared" si="96"/>
        <v>230130</v>
      </c>
      <c r="D4025" s="9" t="str">
        <f>"230907516"</f>
        <v>230907516</v>
      </c>
      <c r="E4025" s="10">
        <v>0</v>
      </c>
      <c r="F4025" s="10"/>
      <c r="G4025" s="10">
        <v>0</v>
      </c>
      <c r="H4025" s="10"/>
      <c r="I4025" s="10">
        <v>0</v>
      </c>
    </row>
    <row r="4026" spans="1:9" s="2" customFormat="1" ht="21.75" customHeight="1">
      <c r="A4026" s="8" t="s">
        <v>23</v>
      </c>
      <c r="B4026" s="8" t="s">
        <v>10</v>
      </c>
      <c r="C4026" s="9" t="str">
        <f t="shared" ref="C4026:C4065" si="97">"230130"</f>
        <v>230130</v>
      </c>
      <c r="D4026" s="9" t="str">
        <f>"230907518"</f>
        <v>230907518</v>
      </c>
      <c r="E4026" s="10">
        <v>0</v>
      </c>
      <c r="F4026" s="10"/>
      <c r="G4026" s="10">
        <v>0</v>
      </c>
      <c r="H4026" s="10"/>
      <c r="I4026" s="10">
        <v>0</v>
      </c>
    </row>
    <row r="4027" spans="1:9" s="3" customFormat="1" ht="21.75" customHeight="1">
      <c r="A4027" s="8" t="s">
        <v>23</v>
      </c>
      <c r="B4027" s="8" t="s">
        <v>10</v>
      </c>
      <c r="C4027" s="9" t="str">
        <f t="shared" si="97"/>
        <v>230130</v>
      </c>
      <c r="D4027" s="9" t="str">
        <f>"230907523"</f>
        <v>230907523</v>
      </c>
      <c r="E4027" s="10">
        <v>0</v>
      </c>
      <c r="F4027" s="10"/>
      <c r="G4027" s="10">
        <v>0</v>
      </c>
      <c r="H4027" s="10"/>
      <c r="I4027" s="10">
        <v>0</v>
      </c>
    </row>
    <row r="4028" spans="1:9" s="2" customFormat="1" ht="21.75" customHeight="1">
      <c r="A4028" s="8" t="s">
        <v>23</v>
      </c>
      <c r="B4028" s="8" t="s">
        <v>10</v>
      </c>
      <c r="C4028" s="9" t="str">
        <f t="shared" si="97"/>
        <v>230130</v>
      </c>
      <c r="D4028" s="9" t="str">
        <f>"230907528"</f>
        <v>230907528</v>
      </c>
      <c r="E4028" s="10">
        <v>0</v>
      </c>
      <c r="F4028" s="10"/>
      <c r="G4028" s="10">
        <v>0</v>
      </c>
      <c r="H4028" s="10"/>
      <c r="I4028" s="10">
        <v>0</v>
      </c>
    </row>
    <row r="4029" spans="1:9" s="2" customFormat="1" ht="21.75" customHeight="1">
      <c r="A4029" s="8" t="s">
        <v>23</v>
      </c>
      <c r="B4029" s="8" t="s">
        <v>10</v>
      </c>
      <c r="C4029" s="9" t="str">
        <f t="shared" si="97"/>
        <v>230130</v>
      </c>
      <c r="D4029" s="9" t="str">
        <f>"230907529"</f>
        <v>230907529</v>
      </c>
      <c r="E4029" s="10">
        <v>0</v>
      </c>
      <c r="F4029" s="10"/>
      <c r="G4029" s="10">
        <v>0</v>
      </c>
      <c r="H4029" s="10"/>
      <c r="I4029" s="10">
        <v>0</v>
      </c>
    </row>
    <row r="4030" spans="1:9" s="2" customFormat="1" ht="21.75" customHeight="1">
      <c r="A4030" s="8" t="s">
        <v>23</v>
      </c>
      <c r="B4030" s="8" t="s">
        <v>10</v>
      </c>
      <c r="C4030" s="9" t="str">
        <f t="shared" si="97"/>
        <v>230130</v>
      </c>
      <c r="D4030" s="9" t="str">
        <f>"230907530"</f>
        <v>230907530</v>
      </c>
      <c r="E4030" s="10">
        <v>0</v>
      </c>
      <c r="F4030" s="10"/>
      <c r="G4030" s="10">
        <v>0</v>
      </c>
      <c r="H4030" s="10"/>
      <c r="I4030" s="10">
        <v>0</v>
      </c>
    </row>
    <row r="4031" spans="1:9" s="2" customFormat="1" ht="21.75" customHeight="1">
      <c r="A4031" s="8" t="s">
        <v>23</v>
      </c>
      <c r="B4031" s="8" t="s">
        <v>10</v>
      </c>
      <c r="C4031" s="9" t="str">
        <f t="shared" si="97"/>
        <v>230130</v>
      </c>
      <c r="D4031" s="9" t="str">
        <f>"230907603"</f>
        <v>230907603</v>
      </c>
      <c r="E4031" s="10">
        <v>0</v>
      </c>
      <c r="F4031" s="10"/>
      <c r="G4031" s="10">
        <v>0</v>
      </c>
      <c r="H4031" s="10"/>
      <c r="I4031" s="10">
        <v>0</v>
      </c>
    </row>
    <row r="4032" spans="1:9" s="2" customFormat="1" ht="21.75" customHeight="1">
      <c r="A4032" s="8" t="s">
        <v>23</v>
      </c>
      <c r="B4032" s="8" t="s">
        <v>10</v>
      </c>
      <c r="C4032" s="9" t="str">
        <f t="shared" si="97"/>
        <v>230130</v>
      </c>
      <c r="D4032" s="9" t="str">
        <f>"230907605"</f>
        <v>230907605</v>
      </c>
      <c r="E4032" s="10">
        <v>0</v>
      </c>
      <c r="F4032" s="10"/>
      <c r="G4032" s="10">
        <v>0</v>
      </c>
      <c r="H4032" s="10"/>
      <c r="I4032" s="10">
        <v>0</v>
      </c>
    </row>
    <row r="4033" spans="1:9" s="3" customFormat="1" ht="21.75" customHeight="1">
      <c r="A4033" s="8" t="s">
        <v>23</v>
      </c>
      <c r="B4033" s="8" t="s">
        <v>10</v>
      </c>
      <c r="C4033" s="9" t="str">
        <f t="shared" si="97"/>
        <v>230130</v>
      </c>
      <c r="D4033" s="9" t="str">
        <f>"230907616"</f>
        <v>230907616</v>
      </c>
      <c r="E4033" s="10">
        <v>0</v>
      </c>
      <c r="F4033" s="10"/>
      <c r="G4033" s="10">
        <v>0</v>
      </c>
      <c r="H4033" s="10"/>
      <c r="I4033" s="10">
        <v>0</v>
      </c>
    </row>
    <row r="4034" spans="1:9" s="2" customFormat="1" ht="21.75" customHeight="1">
      <c r="A4034" s="8" t="s">
        <v>23</v>
      </c>
      <c r="B4034" s="8" t="s">
        <v>10</v>
      </c>
      <c r="C4034" s="9" t="str">
        <f t="shared" si="97"/>
        <v>230130</v>
      </c>
      <c r="D4034" s="9" t="str">
        <f>"230907619"</f>
        <v>230907619</v>
      </c>
      <c r="E4034" s="10">
        <v>0</v>
      </c>
      <c r="F4034" s="10"/>
      <c r="G4034" s="10">
        <v>0</v>
      </c>
      <c r="H4034" s="10"/>
      <c r="I4034" s="10">
        <v>0</v>
      </c>
    </row>
    <row r="4035" spans="1:9" s="2" customFormat="1" ht="21.75" customHeight="1">
      <c r="A4035" s="8" t="s">
        <v>23</v>
      </c>
      <c r="B4035" s="8" t="s">
        <v>10</v>
      </c>
      <c r="C4035" s="9" t="str">
        <f t="shared" si="97"/>
        <v>230130</v>
      </c>
      <c r="D4035" s="9" t="str">
        <f>"230907627"</f>
        <v>230907627</v>
      </c>
      <c r="E4035" s="10">
        <v>0</v>
      </c>
      <c r="F4035" s="10"/>
      <c r="G4035" s="10">
        <v>0</v>
      </c>
      <c r="H4035" s="10"/>
      <c r="I4035" s="10">
        <v>0</v>
      </c>
    </row>
    <row r="4036" spans="1:9" s="2" customFormat="1" ht="21.75" customHeight="1">
      <c r="A4036" s="8" t="s">
        <v>23</v>
      </c>
      <c r="B4036" s="8" t="s">
        <v>10</v>
      </c>
      <c r="C4036" s="9" t="str">
        <f t="shared" si="97"/>
        <v>230130</v>
      </c>
      <c r="D4036" s="9" t="str">
        <f>"230907704"</f>
        <v>230907704</v>
      </c>
      <c r="E4036" s="10">
        <v>0</v>
      </c>
      <c r="F4036" s="10"/>
      <c r="G4036" s="10">
        <v>0</v>
      </c>
      <c r="H4036" s="10"/>
      <c r="I4036" s="10">
        <v>0</v>
      </c>
    </row>
    <row r="4037" spans="1:9" s="3" customFormat="1" ht="21.75" customHeight="1">
      <c r="A4037" s="8" t="s">
        <v>23</v>
      </c>
      <c r="B4037" s="8" t="s">
        <v>10</v>
      </c>
      <c r="C4037" s="9" t="str">
        <f t="shared" si="97"/>
        <v>230130</v>
      </c>
      <c r="D4037" s="9" t="str">
        <f>"230907714"</f>
        <v>230907714</v>
      </c>
      <c r="E4037" s="10">
        <v>0</v>
      </c>
      <c r="F4037" s="10"/>
      <c r="G4037" s="10">
        <v>0</v>
      </c>
      <c r="H4037" s="10"/>
      <c r="I4037" s="10">
        <v>0</v>
      </c>
    </row>
    <row r="4038" spans="1:9" s="2" customFormat="1" ht="21.75" customHeight="1">
      <c r="A4038" s="8" t="s">
        <v>23</v>
      </c>
      <c r="B4038" s="8" t="s">
        <v>10</v>
      </c>
      <c r="C4038" s="9" t="str">
        <f t="shared" si="97"/>
        <v>230130</v>
      </c>
      <c r="D4038" s="9" t="str">
        <f>"230907724"</f>
        <v>230907724</v>
      </c>
      <c r="E4038" s="10">
        <v>0</v>
      </c>
      <c r="F4038" s="10"/>
      <c r="G4038" s="10">
        <v>0</v>
      </c>
      <c r="H4038" s="10"/>
      <c r="I4038" s="10">
        <v>0</v>
      </c>
    </row>
    <row r="4039" spans="1:9" s="2" customFormat="1" ht="21.75" customHeight="1">
      <c r="A4039" s="8" t="s">
        <v>23</v>
      </c>
      <c r="B4039" s="8" t="s">
        <v>10</v>
      </c>
      <c r="C4039" s="9" t="str">
        <f t="shared" si="97"/>
        <v>230130</v>
      </c>
      <c r="D4039" s="9" t="str">
        <f>"230907728"</f>
        <v>230907728</v>
      </c>
      <c r="E4039" s="10">
        <v>0</v>
      </c>
      <c r="F4039" s="10"/>
      <c r="G4039" s="10">
        <v>0</v>
      </c>
      <c r="H4039" s="10"/>
      <c r="I4039" s="10">
        <v>0</v>
      </c>
    </row>
    <row r="4040" spans="1:9" s="2" customFormat="1" ht="21.75" customHeight="1">
      <c r="A4040" s="8" t="s">
        <v>23</v>
      </c>
      <c r="B4040" s="8" t="s">
        <v>10</v>
      </c>
      <c r="C4040" s="9" t="str">
        <f t="shared" si="97"/>
        <v>230130</v>
      </c>
      <c r="D4040" s="9" t="str">
        <f>"230907805"</f>
        <v>230907805</v>
      </c>
      <c r="E4040" s="10">
        <v>0</v>
      </c>
      <c r="F4040" s="10"/>
      <c r="G4040" s="10">
        <v>0</v>
      </c>
      <c r="H4040" s="10"/>
      <c r="I4040" s="10">
        <v>0</v>
      </c>
    </row>
    <row r="4041" spans="1:9" s="2" customFormat="1" ht="21.75" customHeight="1">
      <c r="A4041" s="8" t="s">
        <v>23</v>
      </c>
      <c r="B4041" s="8" t="s">
        <v>10</v>
      </c>
      <c r="C4041" s="9" t="str">
        <f t="shared" si="97"/>
        <v>230130</v>
      </c>
      <c r="D4041" s="9" t="str">
        <f>"230907808"</f>
        <v>230907808</v>
      </c>
      <c r="E4041" s="10">
        <v>0</v>
      </c>
      <c r="F4041" s="10"/>
      <c r="G4041" s="10">
        <v>0</v>
      </c>
      <c r="H4041" s="10"/>
      <c r="I4041" s="10">
        <v>0</v>
      </c>
    </row>
    <row r="4042" spans="1:9" s="2" customFormat="1" ht="21.75" customHeight="1">
      <c r="A4042" s="8" t="s">
        <v>23</v>
      </c>
      <c r="B4042" s="8" t="s">
        <v>10</v>
      </c>
      <c r="C4042" s="9" t="str">
        <f t="shared" si="97"/>
        <v>230130</v>
      </c>
      <c r="D4042" s="9" t="str">
        <f>"230907809"</f>
        <v>230907809</v>
      </c>
      <c r="E4042" s="10">
        <v>0</v>
      </c>
      <c r="F4042" s="10"/>
      <c r="G4042" s="10">
        <v>0</v>
      </c>
      <c r="H4042" s="10"/>
      <c r="I4042" s="10">
        <v>0</v>
      </c>
    </row>
    <row r="4043" spans="1:9" s="2" customFormat="1" ht="21.75" customHeight="1">
      <c r="A4043" s="8" t="s">
        <v>23</v>
      </c>
      <c r="B4043" s="8" t="s">
        <v>10</v>
      </c>
      <c r="C4043" s="9" t="str">
        <f t="shared" si="97"/>
        <v>230130</v>
      </c>
      <c r="D4043" s="9" t="str">
        <f>"230907811"</f>
        <v>230907811</v>
      </c>
      <c r="E4043" s="10">
        <v>0</v>
      </c>
      <c r="F4043" s="10"/>
      <c r="G4043" s="10">
        <v>0</v>
      </c>
      <c r="H4043" s="10"/>
      <c r="I4043" s="10">
        <v>0</v>
      </c>
    </row>
    <row r="4044" spans="1:9" s="2" customFormat="1" ht="21.75" customHeight="1">
      <c r="A4044" s="8" t="s">
        <v>23</v>
      </c>
      <c r="B4044" s="8" t="s">
        <v>10</v>
      </c>
      <c r="C4044" s="9" t="str">
        <f t="shared" si="97"/>
        <v>230130</v>
      </c>
      <c r="D4044" s="9" t="str">
        <f>"230907812"</f>
        <v>230907812</v>
      </c>
      <c r="E4044" s="10">
        <v>0</v>
      </c>
      <c r="F4044" s="10"/>
      <c r="G4044" s="10">
        <v>0</v>
      </c>
      <c r="H4044" s="10"/>
      <c r="I4044" s="10">
        <v>0</v>
      </c>
    </row>
    <row r="4045" spans="1:9" s="3" customFormat="1" ht="21.75" customHeight="1">
      <c r="A4045" s="8" t="s">
        <v>23</v>
      </c>
      <c r="B4045" s="8" t="s">
        <v>10</v>
      </c>
      <c r="C4045" s="9" t="str">
        <f t="shared" si="97"/>
        <v>230130</v>
      </c>
      <c r="D4045" s="9" t="str">
        <f>"230907813"</f>
        <v>230907813</v>
      </c>
      <c r="E4045" s="10">
        <v>0</v>
      </c>
      <c r="F4045" s="10"/>
      <c r="G4045" s="10">
        <v>0</v>
      </c>
      <c r="H4045" s="10"/>
      <c r="I4045" s="10">
        <v>0</v>
      </c>
    </row>
    <row r="4046" spans="1:9" s="2" customFormat="1" ht="21.75" customHeight="1">
      <c r="A4046" s="8" t="s">
        <v>23</v>
      </c>
      <c r="B4046" s="8" t="s">
        <v>10</v>
      </c>
      <c r="C4046" s="9" t="str">
        <f t="shared" si="97"/>
        <v>230130</v>
      </c>
      <c r="D4046" s="9" t="str">
        <f>"230907815"</f>
        <v>230907815</v>
      </c>
      <c r="E4046" s="10">
        <v>0</v>
      </c>
      <c r="F4046" s="10"/>
      <c r="G4046" s="10">
        <v>0</v>
      </c>
      <c r="H4046" s="10"/>
      <c r="I4046" s="10">
        <v>0</v>
      </c>
    </row>
    <row r="4047" spans="1:9" s="3" customFormat="1" ht="21.75" customHeight="1">
      <c r="A4047" s="8" t="s">
        <v>23</v>
      </c>
      <c r="B4047" s="8" t="s">
        <v>10</v>
      </c>
      <c r="C4047" s="9" t="str">
        <f t="shared" si="97"/>
        <v>230130</v>
      </c>
      <c r="D4047" s="9" t="str">
        <f>"230907816"</f>
        <v>230907816</v>
      </c>
      <c r="E4047" s="10">
        <v>0</v>
      </c>
      <c r="F4047" s="10"/>
      <c r="G4047" s="10">
        <v>0</v>
      </c>
      <c r="H4047" s="10"/>
      <c r="I4047" s="10">
        <v>0</v>
      </c>
    </row>
    <row r="4048" spans="1:9" s="2" customFormat="1" ht="21.75" customHeight="1">
      <c r="A4048" s="8" t="s">
        <v>23</v>
      </c>
      <c r="B4048" s="8" t="s">
        <v>10</v>
      </c>
      <c r="C4048" s="9" t="str">
        <f t="shared" si="97"/>
        <v>230130</v>
      </c>
      <c r="D4048" s="9" t="str">
        <f>"230907822"</f>
        <v>230907822</v>
      </c>
      <c r="E4048" s="10">
        <v>0</v>
      </c>
      <c r="F4048" s="10"/>
      <c r="G4048" s="10">
        <v>0</v>
      </c>
      <c r="H4048" s="10"/>
      <c r="I4048" s="10">
        <v>0</v>
      </c>
    </row>
    <row r="4049" spans="1:9" s="2" customFormat="1" ht="21.75" customHeight="1">
      <c r="A4049" s="8" t="s">
        <v>23</v>
      </c>
      <c r="B4049" s="8" t="s">
        <v>10</v>
      </c>
      <c r="C4049" s="9" t="str">
        <f t="shared" si="97"/>
        <v>230130</v>
      </c>
      <c r="D4049" s="9" t="str">
        <f>"230907829"</f>
        <v>230907829</v>
      </c>
      <c r="E4049" s="10">
        <v>0</v>
      </c>
      <c r="F4049" s="10"/>
      <c r="G4049" s="10">
        <v>0</v>
      </c>
      <c r="H4049" s="10"/>
      <c r="I4049" s="10">
        <v>0</v>
      </c>
    </row>
    <row r="4050" spans="1:9" s="2" customFormat="1" ht="21.75" customHeight="1">
      <c r="A4050" s="8" t="s">
        <v>23</v>
      </c>
      <c r="B4050" s="8" t="s">
        <v>10</v>
      </c>
      <c r="C4050" s="9" t="str">
        <f t="shared" si="97"/>
        <v>230130</v>
      </c>
      <c r="D4050" s="9" t="str">
        <f>"230907904"</f>
        <v>230907904</v>
      </c>
      <c r="E4050" s="10">
        <v>0</v>
      </c>
      <c r="F4050" s="10"/>
      <c r="G4050" s="10">
        <v>0</v>
      </c>
      <c r="H4050" s="10"/>
      <c r="I4050" s="10">
        <v>0</v>
      </c>
    </row>
    <row r="4051" spans="1:9" s="2" customFormat="1" ht="21.75" customHeight="1">
      <c r="A4051" s="8" t="s">
        <v>23</v>
      </c>
      <c r="B4051" s="8" t="s">
        <v>10</v>
      </c>
      <c r="C4051" s="9" t="str">
        <f t="shared" si="97"/>
        <v>230130</v>
      </c>
      <c r="D4051" s="9" t="str">
        <f>"230907905"</f>
        <v>230907905</v>
      </c>
      <c r="E4051" s="10">
        <v>0</v>
      </c>
      <c r="F4051" s="10"/>
      <c r="G4051" s="10">
        <v>0</v>
      </c>
      <c r="H4051" s="10"/>
      <c r="I4051" s="10">
        <v>0</v>
      </c>
    </row>
    <row r="4052" spans="1:9" s="3" customFormat="1" ht="21.75" customHeight="1">
      <c r="A4052" s="8" t="s">
        <v>23</v>
      </c>
      <c r="B4052" s="8" t="s">
        <v>10</v>
      </c>
      <c r="C4052" s="9" t="str">
        <f t="shared" si="97"/>
        <v>230130</v>
      </c>
      <c r="D4052" s="9" t="str">
        <f>"230907906"</f>
        <v>230907906</v>
      </c>
      <c r="E4052" s="10">
        <v>0</v>
      </c>
      <c r="F4052" s="10"/>
      <c r="G4052" s="10">
        <v>0</v>
      </c>
      <c r="H4052" s="10"/>
      <c r="I4052" s="10">
        <v>0</v>
      </c>
    </row>
    <row r="4053" spans="1:9" s="2" customFormat="1" ht="21.75" customHeight="1">
      <c r="A4053" s="8" t="s">
        <v>23</v>
      </c>
      <c r="B4053" s="8" t="s">
        <v>10</v>
      </c>
      <c r="C4053" s="9" t="str">
        <f t="shared" si="97"/>
        <v>230130</v>
      </c>
      <c r="D4053" s="9" t="str">
        <f>"230907912"</f>
        <v>230907912</v>
      </c>
      <c r="E4053" s="10">
        <v>0</v>
      </c>
      <c r="F4053" s="10"/>
      <c r="G4053" s="10">
        <v>0</v>
      </c>
      <c r="H4053" s="10"/>
      <c r="I4053" s="10">
        <v>0</v>
      </c>
    </row>
    <row r="4054" spans="1:9" s="3" customFormat="1" ht="21.75" customHeight="1">
      <c r="A4054" s="8" t="s">
        <v>23</v>
      </c>
      <c r="B4054" s="8" t="s">
        <v>10</v>
      </c>
      <c r="C4054" s="9" t="str">
        <f t="shared" si="97"/>
        <v>230130</v>
      </c>
      <c r="D4054" s="9" t="str">
        <f>"230907914"</f>
        <v>230907914</v>
      </c>
      <c r="E4054" s="10">
        <v>0</v>
      </c>
      <c r="F4054" s="10"/>
      <c r="G4054" s="10">
        <v>0</v>
      </c>
      <c r="H4054" s="10"/>
      <c r="I4054" s="10">
        <v>0</v>
      </c>
    </row>
    <row r="4055" spans="1:9" s="2" customFormat="1" ht="21.75" customHeight="1">
      <c r="A4055" s="8" t="s">
        <v>23</v>
      </c>
      <c r="B4055" s="8" t="s">
        <v>10</v>
      </c>
      <c r="C4055" s="9" t="str">
        <f t="shared" si="97"/>
        <v>230130</v>
      </c>
      <c r="D4055" s="9" t="str">
        <f>"230907920"</f>
        <v>230907920</v>
      </c>
      <c r="E4055" s="10">
        <v>0</v>
      </c>
      <c r="F4055" s="10"/>
      <c r="G4055" s="10">
        <v>0</v>
      </c>
      <c r="H4055" s="10"/>
      <c r="I4055" s="10">
        <v>0</v>
      </c>
    </row>
    <row r="4056" spans="1:9" s="2" customFormat="1" ht="21.75" customHeight="1">
      <c r="A4056" s="8" t="s">
        <v>23</v>
      </c>
      <c r="B4056" s="8" t="s">
        <v>10</v>
      </c>
      <c r="C4056" s="9" t="str">
        <f t="shared" si="97"/>
        <v>230130</v>
      </c>
      <c r="D4056" s="9" t="str">
        <f>"230907923"</f>
        <v>230907923</v>
      </c>
      <c r="E4056" s="10">
        <v>0</v>
      </c>
      <c r="F4056" s="10"/>
      <c r="G4056" s="10">
        <v>0</v>
      </c>
      <c r="H4056" s="10"/>
      <c r="I4056" s="10">
        <v>0</v>
      </c>
    </row>
    <row r="4057" spans="1:9" s="2" customFormat="1" ht="21.75" customHeight="1">
      <c r="A4057" s="8" t="s">
        <v>23</v>
      </c>
      <c r="B4057" s="8" t="s">
        <v>10</v>
      </c>
      <c r="C4057" s="9" t="str">
        <f t="shared" si="97"/>
        <v>230130</v>
      </c>
      <c r="D4057" s="9" t="str">
        <f>"230907927"</f>
        <v>230907927</v>
      </c>
      <c r="E4057" s="10">
        <v>0</v>
      </c>
      <c r="F4057" s="10"/>
      <c r="G4057" s="10">
        <v>0</v>
      </c>
      <c r="H4057" s="10"/>
      <c r="I4057" s="10">
        <v>0</v>
      </c>
    </row>
    <row r="4058" spans="1:9" s="2" customFormat="1" ht="21.75" customHeight="1">
      <c r="A4058" s="8" t="s">
        <v>23</v>
      </c>
      <c r="B4058" s="8" t="s">
        <v>10</v>
      </c>
      <c r="C4058" s="9" t="str">
        <f t="shared" si="97"/>
        <v>230130</v>
      </c>
      <c r="D4058" s="9" t="str">
        <f>"230907930"</f>
        <v>230907930</v>
      </c>
      <c r="E4058" s="10">
        <v>0</v>
      </c>
      <c r="F4058" s="10"/>
      <c r="G4058" s="10">
        <v>0</v>
      </c>
      <c r="H4058" s="10"/>
      <c r="I4058" s="10">
        <v>0</v>
      </c>
    </row>
    <row r="4059" spans="1:9" s="3" customFormat="1" ht="21.75" customHeight="1">
      <c r="A4059" s="8" t="s">
        <v>23</v>
      </c>
      <c r="B4059" s="8" t="s">
        <v>10</v>
      </c>
      <c r="C4059" s="9" t="str">
        <f t="shared" si="97"/>
        <v>230130</v>
      </c>
      <c r="D4059" s="9" t="str">
        <f>"230908002"</f>
        <v>230908002</v>
      </c>
      <c r="E4059" s="10">
        <v>0</v>
      </c>
      <c r="F4059" s="10"/>
      <c r="G4059" s="10">
        <v>0</v>
      </c>
      <c r="H4059" s="10"/>
      <c r="I4059" s="10">
        <v>0</v>
      </c>
    </row>
    <row r="4060" spans="1:9" s="3" customFormat="1" ht="21.75" customHeight="1">
      <c r="A4060" s="8" t="s">
        <v>23</v>
      </c>
      <c r="B4060" s="8" t="s">
        <v>10</v>
      </c>
      <c r="C4060" s="9" t="str">
        <f t="shared" si="97"/>
        <v>230130</v>
      </c>
      <c r="D4060" s="9" t="str">
        <f>"230908003"</f>
        <v>230908003</v>
      </c>
      <c r="E4060" s="10">
        <v>0</v>
      </c>
      <c r="F4060" s="10"/>
      <c r="G4060" s="10">
        <v>0</v>
      </c>
      <c r="H4060" s="10"/>
      <c r="I4060" s="10">
        <v>0</v>
      </c>
    </row>
    <row r="4061" spans="1:9" s="2" customFormat="1" ht="21.75" customHeight="1">
      <c r="A4061" s="8" t="s">
        <v>23</v>
      </c>
      <c r="B4061" s="8" t="s">
        <v>10</v>
      </c>
      <c r="C4061" s="9" t="str">
        <f t="shared" si="97"/>
        <v>230130</v>
      </c>
      <c r="D4061" s="9" t="str">
        <f>"230908009"</f>
        <v>230908009</v>
      </c>
      <c r="E4061" s="10">
        <v>0</v>
      </c>
      <c r="F4061" s="10"/>
      <c r="G4061" s="10">
        <v>0</v>
      </c>
      <c r="H4061" s="10"/>
      <c r="I4061" s="10">
        <v>0</v>
      </c>
    </row>
    <row r="4062" spans="1:9" s="3" customFormat="1" ht="21.75" customHeight="1">
      <c r="A4062" s="8" t="s">
        <v>23</v>
      </c>
      <c r="B4062" s="8" t="s">
        <v>10</v>
      </c>
      <c r="C4062" s="9" t="str">
        <f t="shared" si="97"/>
        <v>230130</v>
      </c>
      <c r="D4062" s="9" t="str">
        <f>"230908011"</f>
        <v>230908011</v>
      </c>
      <c r="E4062" s="10">
        <v>0</v>
      </c>
      <c r="F4062" s="10"/>
      <c r="G4062" s="10">
        <v>0</v>
      </c>
      <c r="H4062" s="10"/>
      <c r="I4062" s="10">
        <v>0</v>
      </c>
    </row>
    <row r="4063" spans="1:9" s="3" customFormat="1" ht="21.75" customHeight="1">
      <c r="A4063" s="8" t="s">
        <v>23</v>
      </c>
      <c r="B4063" s="8" t="s">
        <v>10</v>
      </c>
      <c r="C4063" s="9" t="str">
        <f t="shared" si="97"/>
        <v>230130</v>
      </c>
      <c r="D4063" s="9" t="str">
        <f>"230908012"</f>
        <v>230908012</v>
      </c>
      <c r="E4063" s="10">
        <v>0</v>
      </c>
      <c r="F4063" s="10"/>
      <c r="G4063" s="10">
        <v>0</v>
      </c>
      <c r="H4063" s="10"/>
      <c r="I4063" s="10">
        <v>0</v>
      </c>
    </row>
    <row r="4064" spans="1:9" s="3" customFormat="1" ht="21.75" customHeight="1">
      <c r="A4064" s="8" t="s">
        <v>23</v>
      </c>
      <c r="B4064" s="8" t="s">
        <v>10</v>
      </c>
      <c r="C4064" s="9" t="str">
        <f t="shared" si="97"/>
        <v>230130</v>
      </c>
      <c r="D4064" s="9" t="str">
        <f>"230908015"</f>
        <v>230908015</v>
      </c>
      <c r="E4064" s="10">
        <v>0</v>
      </c>
      <c r="F4064" s="10"/>
      <c r="G4064" s="10">
        <v>0</v>
      </c>
      <c r="H4064" s="10"/>
      <c r="I4064" s="10">
        <v>0</v>
      </c>
    </row>
    <row r="4065" spans="1:9" s="3" customFormat="1" ht="21.75" customHeight="1">
      <c r="A4065" s="8" t="s">
        <v>23</v>
      </c>
      <c r="B4065" s="8" t="s">
        <v>10</v>
      </c>
      <c r="C4065" s="9" t="str">
        <f t="shared" si="97"/>
        <v>230130</v>
      </c>
      <c r="D4065" s="9" t="str">
        <f>"230908019"</f>
        <v>230908019</v>
      </c>
      <c r="E4065" s="10">
        <v>0</v>
      </c>
      <c r="F4065" s="10"/>
      <c r="G4065" s="10">
        <v>0</v>
      </c>
      <c r="H4065" s="10"/>
      <c r="I4065" s="10">
        <v>0</v>
      </c>
    </row>
    <row r="4066" spans="1:9" ht="21.75" customHeight="1">
      <c r="A4066" s="8" t="s">
        <v>27</v>
      </c>
      <c r="B4066" s="8" t="s">
        <v>10</v>
      </c>
      <c r="C4066" s="9" t="str">
        <f t="shared" ref="C4066:C4097" si="98">"230131"</f>
        <v>230131</v>
      </c>
      <c r="D4066" s="9" t="str">
        <f>"230908301"</f>
        <v>230908301</v>
      </c>
      <c r="E4066" s="10">
        <v>81.819999999999993</v>
      </c>
      <c r="F4066" s="10"/>
      <c r="G4066" s="10">
        <v>77</v>
      </c>
      <c r="H4066" s="10"/>
      <c r="I4066" s="10">
        <v>78.930000000000007</v>
      </c>
    </row>
    <row r="4067" spans="1:9" ht="21.75" customHeight="1">
      <c r="A4067" s="8" t="s">
        <v>27</v>
      </c>
      <c r="B4067" s="8" t="s">
        <v>10</v>
      </c>
      <c r="C4067" s="9" t="str">
        <f t="shared" si="98"/>
        <v>230131</v>
      </c>
      <c r="D4067" s="9" t="str">
        <f>"230908501"</f>
        <v>230908501</v>
      </c>
      <c r="E4067" s="10">
        <v>82.51</v>
      </c>
      <c r="F4067" s="10"/>
      <c r="G4067" s="10">
        <v>76.5</v>
      </c>
      <c r="H4067" s="10"/>
      <c r="I4067" s="10">
        <v>78.900000000000006</v>
      </c>
    </row>
    <row r="4068" spans="1:9" s="1" customFormat="1" ht="21.75" customHeight="1">
      <c r="A4068" s="8" t="s">
        <v>27</v>
      </c>
      <c r="B4068" s="8" t="s">
        <v>10</v>
      </c>
      <c r="C4068" s="9" t="str">
        <f t="shared" si="98"/>
        <v>230131</v>
      </c>
      <c r="D4068" s="9" t="str">
        <f>"230908118"</f>
        <v>230908118</v>
      </c>
      <c r="E4068" s="10">
        <v>81.25</v>
      </c>
      <c r="F4068" s="10"/>
      <c r="G4068" s="10">
        <v>76</v>
      </c>
      <c r="H4068" s="10"/>
      <c r="I4068" s="10">
        <v>78.099999999999994</v>
      </c>
    </row>
    <row r="4069" spans="1:9" ht="21.75" customHeight="1">
      <c r="A4069" s="8" t="s">
        <v>27</v>
      </c>
      <c r="B4069" s="8" t="s">
        <v>10</v>
      </c>
      <c r="C4069" s="9" t="str">
        <f t="shared" si="98"/>
        <v>230131</v>
      </c>
      <c r="D4069" s="9" t="str">
        <f>"230908025"</f>
        <v>230908025</v>
      </c>
      <c r="E4069" s="10">
        <v>79.39</v>
      </c>
      <c r="F4069" s="10"/>
      <c r="G4069" s="10">
        <v>75</v>
      </c>
      <c r="H4069" s="10"/>
      <c r="I4069" s="10">
        <v>76.760000000000005</v>
      </c>
    </row>
    <row r="4070" spans="1:9" ht="21.75" customHeight="1">
      <c r="A4070" s="8" t="s">
        <v>27</v>
      </c>
      <c r="B4070" s="8" t="s">
        <v>10</v>
      </c>
      <c r="C4070" s="9" t="str">
        <f t="shared" si="98"/>
        <v>230131</v>
      </c>
      <c r="D4070" s="9" t="str">
        <f>"230908220"</f>
        <v>230908220</v>
      </c>
      <c r="E4070" s="10">
        <v>79.400000000000006</v>
      </c>
      <c r="F4070" s="10"/>
      <c r="G4070" s="10">
        <v>74.5</v>
      </c>
      <c r="H4070" s="10"/>
      <c r="I4070" s="10">
        <v>76.459999999999994</v>
      </c>
    </row>
    <row r="4071" spans="1:9" ht="21.75" customHeight="1">
      <c r="A4071" s="8" t="s">
        <v>27</v>
      </c>
      <c r="B4071" s="8" t="s">
        <v>10</v>
      </c>
      <c r="C4071" s="9" t="str">
        <f t="shared" si="98"/>
        <v>230131</v>
      </c>
      <c r="D4071" s="9" t="str">
        <f>"230908425"</f>
        <v>230908425</v>
      </c>
      <c r="E4071" s="10">
        <v>74.81</v>
      </c>
      <c r="F4071" s="10"/>
      <c r="G4071" s="10">
        <v>77.5</v>
      </c>
      <c r="H4071" s="10"/>
      <c r="I4071" s="10">
        <v>76.42</v>
      </c>
    </row>
    <row r="4072" spans="1:9" ht="21.75" customHeight="1">
      <c r="A4072" s="8" t="s">
        <v>27</v>
      </c>
      <c r="B4072" s="8" t="s">
        <v>10</v>
      </c>
      <c r="C4072" s="9" t="str">
        <f t="shared" si="98"/>
        <v>230131</v>
      </c>
      <c r="D4072" s="9" t="str">
        <f>"230908523"</f>
        <v>230908523</v>
      </c>
      <c r="E4072" s="10">
        <v>76.42</v>
      </c>
      <c r="F4072" s="10"/>
      <c r="G4072" s="10">
        <v>75.5</v>
      </c>
      <c r="H4072" s="10"/>
      <c r="I4072" s="10">
        <v>75.87</v>
      </c>
    </row>
    <row r="4073" spans="1:9" ht="21.75" customHeight="1">
      <c r="A4073" s="8" t="s">
        <v>27</v>
      </c>
      <c r="B4073" s="8" t="s">
        <v>10</v>
      </c>
      <c r="C4073" s="9" t="str">
        <f t="shared" si="98"/>
        <v>230131</v>
      </c>
      <c r="D4073" s="9" t="str">
        <f>"230908120"</f>
        <v>230908120</v>
      </c>
      <c r="E4073" s="10">
        <v>68.12</v>
      </c>
      <c r="F4073" s="10"/>
      <c r="G4073" s="10">
        <v>79</v>
      </c>
      <c r="H4073" s="10"/>
      <c r="I4073" s="10">
        <v>74.650000000000006</v>
      </c>
    </row>
    <row r="4074" spans="1:9" ht="21.75" customHeight="1">
      <c r="A4074" s="8" t="s">
        <v>27</v>
      </c>
      <c r="B4074" s="8" t="s">
        <v>10</v>
      </c>
      <c r="C4074" s="9" t="str">
        <f t="shared" si="98"/>
        <v>230131</v>
      </c>
      <c r="D4074" s="9" t="str">
        <f>"230908211"</f>
        <v>230908211</v>
      </c>
      <c r="E4074" s="10">
        <v>79.400000000000006</v>
      </c>
      <c r="F4074" s="10"/>
      <c r="G4074" s="10">
        <v>71</v>
      </c>
      <c r="H4074" s="10"/>
      <c r="I4074" s="10">
        <v>74.36</v>
      </c>
    </row>
    <row r="4075" spans="1:9" ht="21.75" customHeight="1">
      <c r="A4075" s="8" t="s">
        <v>27</v>
      </c>
      <c r="B4075" s="8" t="s">
        <v>10</v>
      </c>
      <c r="C4075" s="9" t="str">
        <f t="shared" si="98"/>
        <v>230131</v>
      </c>
      <c r="D4075" s="9" t="str">
        <f>"230908328"</f>
        <v>230908328</v>
      </c>
      <c r="E4075" s="10">
        <v>76.989999999999995</v>
      </c>
      <c r="F4075" s="10"/>
      <c r="G4075" s="10">
        <v>72.5</v>
      </c>
      <c r="H4075" s="10"/>
      <c r="I4075" s="10">
        <v>74.3</v>
      </c>
    </row>
    <row r="4076" spans="1:9" ht="21.75" customHeight="1">
      <c r="A4076" s="8" t="s">
        <v>27</v>
      </c>
      <c r="B4076" s="8" t="s">
        <v>10</v>
      </c>
      <c r="C4076" s="9" t="str">
        <f t="shared" si="98"/>
        <v>230131</v>
      </c>
      <c r="D4076" s="9" t="str">
        <f>"230908216"</f>
        <v>230908216</v>
      </c>
      <c r="E4076" s="10">
        <v>73.89</v>
      </c>
      <c r="F4076" s="10"/>
      <c r="G4076" s="10">
        <v>74.5</v>
      </c>
      <c r="H4076" s="10"/>
      <c r="I4076" s="10">
        <v>74.260000000000005</v>
      </c>
    </row>
    <row r="4077" spans="1:9" s="1" customFormat="1" ht="21.75" customHeight="1">
      <c r="A4077" s="8" t="s">
        <v>27</v>
      </c>
      <c r="B4077" s="8" t="s">
        <v>10</v>
      </c>
      <c r="C4077" s="9" t="str">
        <f t="shared" si="98"/>
        <v>230131</v>
      </c>
      <c r="D4077" s="9" t="str">
        <f>"230908410"</f>
        <v>230908410</v>
      </c>
      <c r="E4077" s="10">
        <v>73.069999999999993</v>
      </c>
      <c r="F4077" s="10"/>
      <c r="G4077" s="10">
        <v>75</v>
      </c>
      <c r="H4077" s="10"/>
      <c r="I4077" s="10">
        <v>74.23</v>
      </c>
    </row>
    <row r="4078" spans="1:9" ht="21.75" customHeight="1">
      <c r="A4078" s="8" t="s">
        <v>27</v>
      </c>
      <c r="B4078" s="8" t="s">
        <v>10</v>
      </c>
      <c r="C4078" s="9" t="str">
        <f t="shared" si="98"/>
        <v>230131</v>
      </c>
      <c r="D4078" s="9" t="str">
        <f>"230908302"</f>
        <v>230908302</v>
      </c>
      <c r="E4078" s="10">
        <v>70.34</v>
      </c>
      <c r="F4078" s="10"/>
      <c r="G4078" s="10">
        <v>76.5</v>
      </c>
      <c r="H4078" s="10"/>
      <c r="I4078" s="10">
        <v>74.040000000000006</v>
      </c>
    </row>
    <row r="4079" spans="1:9" s="1" customFormat="1" ht="21.75" customHeight="1">
      <c r="A4079" s="8" t="s">
        <v>27</v>
      </c>
      <c r="B4079" s="8" t="s">
        <v>10</v>
      </c>
      <c r="C4079" s="9" t="str">
        <f t="shared" si="98"/>
        <v>230131</v>
      </c>
      <c r="D4079" s="9" t="str">
        <f>"230908423"</f>
        <v>230908423</v>
      </c>
      <c r="E4079" s="10">
        <v>75.14</v>
      </c>
      <c r="F4079" s="10"/>
      <c r="G4079" s="10">
        <v>73</v>
      </c>
      <c r="H4079" s="10"/>
      <c r="I4079" s="10">
        <v>73.86</v>
      </c>
    </row>
    <row r="4080" spans="1:9" s="1" customFormat="1" ht="21.75" customHeight="1">
      <c r="A4080" s="8" t="s">
        <v>27</v>
      </c>
      <c r="B4080" s="8" t="s">
        <v>10</v>
      </c>
      <c r="C4080" s="9" t="str">
        <f t="shared" si="98"/>
        <v>230131</v>
      </c>
      <c r="D4080" s="9" t="str">
        <f>"230908218"</f>
        <v>230908218</v>
      </c>
      <c r="E4080" s="10">
        <v>72.38</v>
      </c>
      <c r="F4080" s="10"/>
      <c r="G4080" s="10">
        <v>74.5</v>
      </c>
      <c r="H4080" s="10"/>
      <c r="I4080" s="10">
        <v>73.650000000000006</v>
      </c>
    </row>
    <row r="4081" spans="1:9" ht="21.75" customHeight="1">
      <c r="A4081" s="8" t="s">
        <v>27</v>
      </c>
      <c r="B4081" s="8" t="s">
        <v>10</v>
      </c>
      <c r="C4081" s="9" t="str">
        <f t="shared" si="98"/>
        <v>230131</v>
      </c>
      <c r="D4081" s="9" t="str">
        <f>"230908519"</f>
        <v>230908519</v>
      </c>
      <c r="E4081" s="10">
        <v>79.739999999999995</v>
      </c>
      <c r="F4081" s="10"/>
      <c r="G4081" s="10">
        <v>69.5</v>
      </c>
      <c r="H4081" s="10"/>
      <c r="I4081" s="10">
        <v>73.599999999999994</v>
      </c>
    </row>
    <row r="4082" spans="1:9" ht="21.75" customHeight="1">
      <c r="A4082" s="8" t="s">
        <v>27</v>
      </c>
      <c r="B4082" s="8" t="s">
        <v>10</v>
      </c>
      <c r="C4082" s="9" t="str">
        <f t="shared" si="98"/>
        <v>230131</v>
      </c>
      <c r="D4082" s="9" t="str">
        <f>"230908303"</f>
        <v>230908303</v>
      </c>
      <c r="E4082" s="10">
        <v>71.47</v>
      </c>
      <c r="F4082" s="10"/>
      <c r="G4082" s="10">
        <v>75</v>
      </c>
      <c r="H4082" s="10"/>
      <c r="I4082" s="10">
        <v>73.59</v>
      </c>
    </row>
    <row r="4083" spans="1:9" s="1" customFormat="1" ht="21.75" customHeight="1">
      <c r="A4083" s="8" t="s">
        <v>27</v>
      </c>
      <c r="B4083" s="8" t="s">
        <v>10</v>
      </c>
      <c r="C4083" s="9" t="str">
        <f t="shared" si="98"/>
        <v>230131</v>
      </c>
      <c r="D4083" s="9" t="str">
        <f>"230908421"</f>
        <v>230908421</v>
      </c>
      <c r="E4083" s="10">
        <v>71.47</v>
      </c>
      <c r="F4083" s="10"/>
      <c r="G4083" s="10">
        <v>75</v>
      </c>
      <c r="H4083" s="10"/>
      <c r="I4083" s="10">
        <v>73.59</v>
      </c>
    </row>
    <row r="4084" spans="1:9" s="1" customFormat="1" ht="21.75" customHeight="1">
      <c r="A4084" s="8" t="s">
        <v>27</v>
      </c>
      <c r="B4084" s="8" t="s">
        <v>10</v>
      </c>
      <c r="C4084" s="9" t="str">
        <f t="shared" si="98"/>
        <v>230131</v>
      </c>
      <c r="D4084" s="9" t="str">
        <f>"230908327"</f>
        <v>230908327</v>
      </c>
      <c r="E4084" s="10">
        <v>75.150000000000006</v>
      </c>
      <c r="F4084" s="10"/>
      <c r="G4084" s="10">
        <v>72.5</v>
      </c>
      <c r="H4084" s="10"/>
      <c r="I4084" s="10">
        <v>73.56</v>
      </c>
    </row>
    <row r="4085" spans="1:9" ht="21.75" customHeight="1">
      <c r="A4085" s="8" t="s">
        <v>27</v>
      </c>
      <c r="B4085" s="8" t="s">
        <v>10</v>
      </c>
      <c r="C4085" s="9" t="str">
        <f t="shared" si="98"/>
        <v>230131</v>
      </c>
      <c r="D4085" s="9" t="str">
        <f>"230908426"</f>
        <v>230908426</v>
      </c>
      <c r="E4085" s="10">
        <v>77.319999999999993</v>
      </c>
      <c r="F4085" s="10"/>
      <c r="G4085" s="10">
        <v>71</v>
      </c>
      <c r="H4085" s="10"/>
      <c r="I4085" s="10">
        <v>73.53</v>
      </c>
    </row>
    <row r="4086" spans="1:9" s="1" customFormat="1" ht="21.75" customHeight="1">
      <c r="A4086" s="8" t="s">
        <v>27</v>
      </c>
      <c r="B4086" s="8" t="s">
        <v>10</v>
      </c>
      <c r="C4086" s="9" t="str">
        <f t="shared" si="98"/>
        <v>230131</v>
      </c>
      <c r="D4086" s="9" t="str">
        <f>"230908502"</f>
        <v>230908502</v>
      </c>
      <c r="E4086" s="10">
        <v>68.25</v>
      </c>
      <c r="F4086" s="10"/>
      <c r="G4086" s="10">
        <v>77</v>
      </c>
      <c r="H4086" s="10"/>
      <c r="I4086" s="10">
        <v>73.5</v>
      </c>
    </row>
    <row r="4087" spans="1:9" ht="21.75" customHeight="1">
      <c r="A4087" s="8" t="s">
        <v>27</v>
      </c>
      <c r="B4087" s="8" t="s">
        <v>10</v>
      </c>
      <c r="C4087" s="9" t="str">
        <f t="shared" si="98"/>
        <v>230131</v>
      </c>
      <c r="D4087" s="9" t="str">
        <f>"230908324"</f>
        <v>230908324</v>
      </c>
      <c r="E4087" s="10">
        <v>74.010000000000005</v>
      </c>
      <c r="F4087" s="10"/>
      <c r="G4087" s="10">
        <v>73</v>
      </c>
      <c r="H4087" s="10"/>
      <c r="I4087" s="10">
        <v>73.400000000000006</v>
      </c>
    </row>
    <row r="4088" spans="1:9" s="1" customFormat="1" ht="21.75" customHeight="1">
      <c r="A4088" s="8" t="s">
        <v>27</v>
      </c>
      <c r="B4088" s="8" t="s">
        <v>10</v>
      </c>
      <c r="C4088" s="9" t="str">
        <f t="shared" si="98"/>
        <v>230131</v>
      </c>
      <c r="D4088" s="9" t="str">
        <f>"230908028"</f>
        <v>230908028</v>
      </c>
      <c r="E4088" s="10">
        <v>72.17</v>
      </c>
      <c r="F4088" s="10"/>
      <c r="G4088" s="10">
        <v>74</v>
      </c>
      <c r="H4088" s="10"/>
      <c r="I4088" s="10">
        <v>73.27</v>
      </c>
    </row>
    <row r="4089" spans="1:9" ht="21.75" customHeight="1">
      <c r="A4089" s="8" t="s">
        <v>27</v>
      </c>
      <c r="B4089" s="8" t="s">
        <v>10</v>
      </c>
      <c r="C4089" s="9" t="str">
        <f t="shared" si="98"/>
        <v>230131</v>
      </c>
      <c r="D4089" s="9" t="str">
        <f>"230908110"</f>
        <v>230908110</v>
      </c>
      <c r="E4089" s="10">
        <v>72.16</v>
      </c>
      <c r="F4089" s="10"/>
      <c r="G4089" s="10">
        <v>74</v>
      </c>
      <c r="H4089" s="10"/>
      <c r="I4089" s="10">
        <v>73.260000000000005</v>
      </c>
    </row>
    <row r="4090" spans="1:9" ht="21.75" customHeight="1">
      <c r="A4090" s="8" t="s">
        <v>27</v>
      </c>
      <c r="B4090" s="8" t="s">
        <v>10</v>
      </c>
      <c r="C4090" s="9" t="str">
        <f t="shared" si="98"/>
        <v>230131</v>
      </c>
      <c r="D4090" s="9" t="str">
        <f>"230908313"</f>
        <v>230908313</v>
      </c>
      <c r="E4090" s="10">
        <v>73.3</v>
      </c>
      <c r="F4090" s="10"/>
      <c r="G4090" s="10">
        <v>73</v>
      </c>
      <c r="H4090" s="10"/>
      <c r="I4090" s="10">
        <v>73.12</v>
      </c>
    </row>
    <row r="4091" spans="1:9" s="1" customFormat="1" ht="21.75" customHeight="1">
      <c r="A4091" s="8" t="s">
        <v>27</v>
      </c>
      <c r="B4091" s="8" t="s">
        <v>10</v>
      </c>
      <c r="C4091" s="9" t="str">
        <f t="shared" si="98"/>
        <v>230131</v>
      </c>
      <c r="D4091" s="9" t="str">
        <f>"230908516"</f>
        <v>230908516</v>
      </c>
      <c r="E4091" s="10">
        <v>74</v>
      </c>
      <c r="F4091" s="10"/>
      <c r="G4091" s="10">
        <v>72.5</v>
      </c>
      <c r="H4091" s="10"/>
      <c r="I4091" s="10">
        <v>73.099999999999994</v>
      </c>
    </row>
    <row r="4092" spans="1:9" s="1" customFormat="1" ht="21.75" customHeight="1">
      <c r="A4092" s="8" t="s">
        <v>27</v>
      </c>
      <c r="B4092" s="8" t="s">
        <v>10</v>
      </c>
      <c r="C4092" s="9" t="str">
        <f t="shared" si="98"/>
        <v>230131</v>
      </c>
      <c r="D4092" s="9" t="str">
        <f>"230908505"</f>
        <v>230908505</v>
      </c>
      <c r="E4092" s="10">
        <v>63.75</v>
      </c>
      <c r="F4092" s="10"/>
      <c r="G4092" s="10">
        <v>79</v>
      </c>
      <c r="H4092" s="10"/>
      <c r="I4092" s="10">
        <v>72.900000000000006</v>
      </c>
    </row>
    <row r="4093" spans="1:9" ht="21.75" customHeight="1">
      <c r="A4093" s="8" t="s">
        <v>27</v>
      </c>
      <c r="B4093" s="8" t="s">
        <v>10</v>
      </c>
      <c r="C4093" s="9" t="str">
        <f t="shared" si="98"/>
        <v>230131</v>
      </c>
      <c r="D4093" s="9" t="str">
        <f>"230908224"</f>
        <v>230908224</v>
      </c>
      <c r="E4093" s="10">
        <v>73.09</v>
      </c>
      <c r="F4093" s="10"/>
      <c r="G4093" s="10">
        <v>72</v>
      </c>
      <c r="H4093" s="10"/>
      <c r="I4093" s="10">
        <v>72.44</v>
      </c>
    </row>
    <row r="4094" spans="1:9" s="1" customFormat="1" ht="21.75" customHeight="1">
      <c r="A4094" s="8" t="s">
        <v>27</v>
      </c>
      <c r="B4094" s="8" t="s">
        <v>10</v>
      </c>
      <c r="C4094" s="9" t="str">
        <f t="shared" si="98"/>
        <v>230131</v>
      </c>
      <c r="D4094" s="9" t="str">
        <f>"230908511"</f>
        <v>230908511</v>
      </c>
      <c r="E4094" s="10">
        <v>74.92</v>
      </c>
      <c r="F4094" s="10"/>
      <c r="G4094" s="10">
        <v>70.5</v>
      </c>
      <c r="H4094" s="10"/>
      <c r="I4094" s="10">
        <v>72.27</v>
      </c>
    </row>
    <row r="4095" spans="1:9" ht="21.75" customHeight="1">
      <c r="A4095" s="8" t="s">
        <v>27</v>
      </c>
      <c r="B4095" s="8" t="s">
        <v>10</v>
      </c>
      <c r="C4095" s="9" t="str">
        <f t="shared" si="98"/>
        <v>230131</v>
      </c>
      <c r="D4095" s="9" t="str">
        <f>"230908029"</f>
        <v>230908029</v>
      </c>
      <c r="E4095" s="10">
        <v>76.41</v>
      </c>
      <c r="F4095" s="10"/>
      <c r="G4095" s="10">
        <v>69.5</v>
      </c>
      <c r="H4095" s="10"/>
      <c r="I4095" s="10">
        <v>72.260000000000005</v>
      </c>
    </row>
    <row r="4096" spans="1:9" ht="21.75" customHeight="1">
      <c r="A4096" s="8" t="s">
        <v>27</v>
      </c>
      <c r="B4096" s="8" t="s">
        <v>10</v>
      </c>
      <c r="C4096" s="9" t="str">
        <f t="shared" si="98"/>
        <v>230131</v>
      </c>
      <c r="D4096" s="9" t="str">
        <f>"230908312"</f>
        <v>230908312</v>
      </c>
      <c r="E4096" s="10">
        <v>73.319999999999993</v>
      </c>
      <c r="F4096" s="10"/>
      <c r="G4096" s="10">
        <v>71.5</v>
      </c>
      <c r="H4096" s="10"/>
      <c r="I4096" s="10">
        <v>72.23</v>
      </c>
    </row>
    <row r="4097" spans="1:9" s="1" customFormat="1" ht="21.75" customHeight="1">
      <c r="A4097" s="8" t="s">
        <v>27</v>
      </c>
      <c r="B4097" s="8" t="s">
        <v>10</v>
      </c>
      <c r="C4097" s="9" t="str">
        <f t="shared" si="98"/>
        <v>230131</v>
      </c>
      <c r="D4097" s="9" t="str">
        <f>"230908520"</f>
        <v>230908520</v>
      </c>
      <c r="E4097" s="10">
        <v>71.010000000000005</v>
      </c>
      <c r="F4097" s="10"/>
      <c r="G4097" s="10">
        <v>73</v>
      </c>
      <c r="H4097" s="10"/>
      <c r="I4097" s="10">
        <v>72.2</v>
      </c>
    </row>
    <row r="4098" spans="1:9" ht="21.75" customHeight="1">
      <c r="A4098" s="8" t="s">
        <v>27</v>
      </c>
      <c r="B4098" s="8" t="s">
        <v>10</v>
      </c>
      <c r="C4098" s="9" t="str">
        <f t="shared" ref="C4098:C4129" si="99">"230131"</f>
        <v>230131</v>
      </c>
      <c r="D4098" s="9" t="str">
        <f>"230908104"</f>
        <v>230908104</v>
      </c>
      <c r="E4098" s="10">
        <v>58.85</v>
      </c>
      <c r="F4098" s="10"/>
      <c r="G4098" s="10">
        <v>81</v>
      </c>
      <c r="H4098" s="10"/>
      <c r="I4098" s="10">
        <v>72.14</v>
      </c>
    </row>
    <row r="4099" spans="1:9" ht="21.75" customHeight="1">
      <c r="A4099" s="8" t="s">
        <v>27</v>
      </c>
      <c r="B4099" s="8" t="s">
        <v>10</v>
      </c>
      <c r="C4099" s="9" t="str">
        <f t="shared" si="99"/>
        <v>230131</v>
      </c>
      <c r="D4099" s="9" t="str">
        <f>"230908507"</f>
        <v>230908507</v>
      </c>
      <c r="E4099" s="10">
        <v>67</v>
      </c>
      <c r="F4099" s="10"/>
      <c r="G4099" s="10">
        <v>75.5</v>
      </c>
      <c r="H4099" s="10"/>
      <c r="I4099" s="10">
        <v>72.099999999999994</v>
      </c>
    </row>
    <row r="4100" spans="1:9" ht="21.75" customHeight="1">
      <c r="A4100" s="8" t="s">
        <v>27</v>
      </c>
      <c r="B4100" s="8" t="s">
        <v>10</v>
      </c>
      <c r="C4100" s="9" t="str">
        <f t="shared" si="99"/>
        <v>230131</v>
      </c>
      <c r="D4100" s="9" t="str">
        <f>"230908114"</f>
        <v>230908114</v>
      </c>
      <c r="E4100" s="10">
        <v>71.47</v>
      </c>
      <c r="F4100" s="10"/>
      <c r="G4100" s="10">
        <v>72.5</v>
      </c>
      <c r="H4100" s="10"/>
      <c r="I4100" s="10">
        <v>72.09</v>
      </c>
    </row>
    <row r="4101" spans="1:9" ht="21.75" customHeight="1">
      <c r="A4101" s="8" t="s">
        <v>27</v>
      </c>
      <c r="B4101" s="8" t="s">
        <v>10</v>
      </c>
      <c r="C4101" s="9" t="str">
        <f t="shared" si="99"/>
        <v>230131</v>
      </c>
      <c r="D4101" s="9" t="str">
        <f>"230908203"</f>
        <v>230908203</v>
      </c>
      <c r="E4101" s="10">
        <v>63.44</v>
      </c>
      <c r="F4101" s="10"/>
      <c r="G4101" s="10">
        <v>77.5</v>
      </c>
      <c r="H4101" s="10"/>
      <c r="I4101" s="10">
        <v>71.88</v>
      </c>
    </row>
    <row r="4102" spans="1:9" s="1" customFormat="1" ht="21.75" customHeight="1">
      <c r="A4102" s="8" t="s">
        <v>27</v>
      </c>
      <c r="B4102" s="8" t="s">
        <v>10</v>
      </c>
      <c r="C4102" s="9" t="str">
        <f t="shared" si="99"/>
        <v>230131</v>
      </c>
      <c r="D4102" s="9" t="str">
        <f>"230908202"</f>
        <v>230908202</v>
      </c>
      <c r="E4102" s="10">
        <v>69.400000000000006</v>
      </c>
      <c r="F4102" s="10"/>
      <c r="G4102" s="10">
        <v>73.5</v>
      </c>
      <c r="H4102" s="10"/>
      <c r="I4102" s="10">
        <v>71.86</v>
      </c>
    </row>
    <row r="4103" spans="1:9" ht="21.75" customHeight="1">
      <c r="A4103" s="8" t="s">
        <v>27</v>
      </c>
      <c r="B4103" s="8" t="s">
        <v>10</v>
      </c>
      <c r="C4103" s="9" t="str">
        <f t="shared" si="99"/>
        <v>230131</v>
      </c>
      <c r="D4103" s="9" t="str">
        <f>"230908123"</f>
        <v>230908123</v>
      </c>
      <c r="E4103" s="10">
        <v>71.59</v>
      </c>
      <c r="F4103" s="10"/>
      <c r="G4103" s="10">
        <v>72</v>
      </c>
      <c r="H4103" s="10"/>
      <c r="I4103" s="10">
        <v>71.84</v>
      </c>
    </row>
    <row r="4104" spans="1:9" ht="21.75" customHeight="1">
      <c r="A4104" s="8" t="s">
        <v>27</v>
      </c>
      <c r="B4104" s="8" t="s">
        <v>10</v>
      </c>
      <c r="C4104" s="9" t="str">
        <f t="shared" si="99"/>
        <v>230131</v>
      </c>
      <c r="D4104" s="9" t="str">
        <f>"230908024"</f>
        <v>230908024</v>
      </c>
      <c r="E4104" s="10">
        <v>72.73</v>
      </c>
      <c r="F4104" s="10"/>
      <c r="G4104" s="10">
        <v>71</v>
      </c>
      <c r="H4104" s="10"/>
      <c r="I4104" s="10">
        <v>71.69</v>
      </c>
    </row>
    <row r="4105" spans="1:9" ht="21.75" customHeight="1">
      <c r="A4105" s="8" t="s">
        <v>27</v>
      </c>
      <c r="B4105" s="8" t="s">
        <v>10</v>
      </c>
      <c r="C4105" s="9" t="str">
        <f t="shared" si="99"/>
        <v>230131</v>
      </c>
      <c r="D4105" s="9" t="str">
        <f>"230908026"</f>
        <v>230908026</v>
      </c>
      <c r="E4105" s="10">
        <v>74.22</v>
      </c>
      <c r="F4105" s="10"/>
      <c r="G4105" s="10">
        <v>70</v>
      </c>
      <c r="H4105" s="10"/>
      <c r="I4105" s="10">
        <v>71.69</v>
      </c>
    </row>
    <row r="4106" spans="1:9" ht="21.75" customHeight="1">
      <c r="A4106" s="8" t="s">
        <v>27</v>
      </c>
      <c r="B4106" s="8" t="s">
        <v>10</v>
      </c>
      <c r="C4106" s="9" t="str">
        <f t="shared" si="99"/>
        <v>230131</v>
      </c>
      <c r="D4106" s="9" t="str">
        <f>"230908207"</f>
        <v>230908207</v>
      </c>
      <c r="E4106" s="10">
        <v>67.209999999999994</v>
      </c>
      <c r="F4106" s="10"/>
      <c r="G4106" s="10">
        <v>74.5</v>
      </c>
      <c r="H4106" s="10"/>
      <c r="I4106" s="10">
        <v>71.58</v>
      </c>
    </row>
    <row r="4107" spans="1:9" s="1" customFormat="1" ht="21.75" customHeight="1">
      <c r="A4107" s="8" t="s">
        <v>27</v>
      </c>
      <c r="B4107" s="8" t="s">
        <v>10</v>
      </c>
      <c r="C4107" s="9" t="str">
        <f t="shared" si="99"/>
        <v>230131</v>
      </c>
      <c r="D4107" s="9" t="str">
        <f>"230908308"</f>
        <v>230908308</v>
      </c>
      <c r="E4107" s="10">
        <v>68.7</v>
      </c>
      <c r="F4107" s="10"/>
      <c r="G4107" s="10">
        <v>73.5</v>
      </c>
      <c r="H4107" s="10"/>
      <c r="I4107" s="10">
        <v>71.58</v>
      </c>
    </row>
    <row r="4108" spans="1:9" ht="21.75" customHeight="1">
      <c r="A4108" s="8" t="s">
        <v>27</v>
      </c>
      <c r="B4108" s="8" t="s">
        <v>10</v>
      </c>
      <c r="C4108" s="9" t="str">
        <f t="shared" si="99"/>
        <v>230131</v>
      </c>
      <c r="D4108" s="9" t="str">
        <f>"230908212"</f>
        <v>230908212</v>
      </c>
      <c r="E4108" s="10">
        <v>69.41</v>
      </c>
      <c r="F4108" s="10"/>
      <c r="G4108" s="10">
        <v>73</v>
      </c>
      <c r="H4108" s="10"/>
      <c r="I4108" s="10">
        <v>71.56</v>
      </c>
    </row>
    <row r="4109" spans="1:9" s="1" customFormat="1" ht="21.75" customHeight="1">
      <c r="A4109" s="8" t="s">
        <v>27</v>
      </c>
      <c r="B4109" s="8" t="s">
        <v>10</v>
      </c>
      <c r="C4109" s="9" t="str">
        <f t="shared" si="99"/>
        <v>230131</v>
      </c>
      <c r="D4109" s="9" t="str">
        <f>"230908515"</f>
        <v>230908515</v>
      </c>
      <c r="E4109" s="10">
        <v>64.56</v>
      </c>
      <c r="F4109" s="10"/>
      <c r="G4109" s="10">
        <v>76</v>
      </c>
      <c r="H4109" s="10"/>
      <c r="I4109" s="10">
        <v>71.42</v>
      </c>
    </row>
    <row r="4110" spans="1:9" ht="21.75" customHeight="1">
      <c r="A4110" s="8" t="s">
        <v>27</v>
      </c>
      <c r="B4110" s="8" t="s">
        <v>10</v>
      </c>
      <c r="C4110" s="9" t="str">
        <f t="shared" si="99"/>
        <v>230131</v>
      </c>
      <c r="D4110" s="9" t="str">
        <f>"230908030"</f>
        <v>230908030</v>
      </c>
      <c r="E4110" s="10">
        <v>70.319999999999993</v>
      </c>
      <c r="F4110" s="10"/>
      <c r="G4110" s="10">
        <v>72</v>
      </c>
      <c r="H4110" s="10"/>
      <c r="I4110" s="10">
        <v>71.33</v>
      </c>
    </row>
    <row r="4111" spans="1:9" ht="21.75" customHeight="1">
      <c r="A4111" s="8" t="s">
        <v>27</v>
      </c>
      <c r="B4111" s="8" t="s">
        <v>10</v>
      </c>
      <c r="C4111" s="9" t="str">
        <f t="shared" si="99"/>
        <v>230131</v>
      </c>
      <c r="D4111" s="9" t="str">
        <f>"230908314"</f>
        <v>230908314</v>
      </c>
      <c r="E4111" s="10">
        <v>75.37</v>
      </c>
      <c r="F4111" s="10"/>
      <c r="G4111" s="10">
        <v>68.5</v>
      </c>
      <c r="H4111" s="10"/>
      <c r="I4111" s="10">
        <v>71.25</v>
      </c>
    </row>
    <row r="4112" spans="1:9" ht="21.75" customHeight="1">
      <c r="A4112" s="8" t="s">
        <v>27</v>
      </c>
      <c r="B4112" s="8" t="s">
        <v>10</v>
      </c>
      <c r="C4112" s="9" t="str">
        <f t="shared" si="99"/>
        <v>230131</v>
      </c>
      <c r="D4112" s="9" t="str">
        <f>"230908414"</f>
        <v>230908414</v>
      </c>
      <c r="E4112" s="10">
        <v>73.08</v>
      </c>
      <c r="F4112" s="10"/>
      <c r="G4112" s="10">
        <v>70</v>
      </c>
      <c r="H4112" s="10"/>
      <c r="I4112" s="10">
        <v>71.23</v>
      </c>
    </row>
    <row r="4113" spans="1:9" ht="21.75" customHeight="1">
      <c r="A4113" s="8" t="s">
        <v>27</v>
      </c>
      <c r="B4113" s="8" t="s">
        <v>10</v>
      </c>
      <c r="C4113" s="9" t="str">
        <f t="shared" si="99"/>
        <v>230131</v>
      </c>
      <c r="D4113" s="9" t="str">
        <f>"230908318"</f>
        <v>230908318</v>
      </c>
      <c r="E4113" s="10">
        <v>72.72</v>
      </c>
      <c r="F4113" s="10"/>
      <c r="G4113" s="10">
        <v>70</v>
      </c>
      <c r="H4113" s="10"/>
      <c r="I4113" s="10">
        <v>71.09</v>
      </c>
    </row>
    <row r="4114" spans="1:9" s="1" customFormat="1" ht="21.75" customHeight="1">
      <c r="A4114" s="8" t="s">
        <v>27</v>
      </c>
      <c r="B4114" s="8" t="s">
        <v>10</v>
      </c>
      <c r="C4114" s="9" t="str">
        <f t="shared" si="99"/>
        <v>230131</v>
      </c>
      <c r="D4114" s="9" t="str">
        <f>"230908113"</f>
        <v>230908113</v>
      </c>
      <c r="E4114" s="10">
        <v>76.430000000000007</v>
      </c>
      <c r="F4114" s="10"/>
      <c r="G4114" s="10">
        <v>67.5</v>
      </c>
      <c r="H4114" s="10"/>
      <c r="I4114" s="10">
        <v>71.069999999999993</v>
      </c>
    </row>
    <row r="4115" spans="1:9" ht="21.75" customHeight="1">
      <c r="A4115" s="8" t="s">
        <v>27</v>
      </c>
      <c r="B4115" s="8" t="s">
        <v>10</v>
      </c>
      <c r="C4115" s="9" t="str">
        <f t="shared" si="99"/>
        <v>230131</v>
      </c>
      <c r="D4115" s="9" t="str">
        <f>"230908309"</f>
        <v>230908309</v>
      </c>
      <c r="E4115" s="10">
        <v>72.62</v>
      </c>
      <c r="F4115" s="10"/>
      <c r="G4115" s="10">
        <v>70</v>
      </c>
      <c r="H4115" s="10"/>
      <c r="I4115" s="10">
        <v>71.05</v>
      </c>
    </row>
    <row r="4116" spans="1:9" ht="21.75" customHeight="1">
      <c r="A4116" s="8" t="s">
        <v>27</v>
      </c>
      <c r="B4116" s="8" t="s">
        <v>10</v>
      </c>
      <c r="C4116" s="9" t="str">
        <f t="shared" si="99"/>
        <v>230131</v>
      </c>
      <c r="D4116" s="9" t="str">
        <f>"230908524"</f>
        <v>230908524</v>
      </c>
      <c r="E4116" s="10">
        <v>71.819999999999993</v>
      </c>
      <c r="F4116" s="10"/>
      <c r="G4116" s="10">
        <v>70.5</v>
      </c>
      <c r="H4116" s="10"/>
      <c r="I4116" s="10">
        <v>71.03</v>
      </c>
    </row>
    <row r="4117" spans="1:9" ht="21.75" customHeight="1">
      <c r="A4117" s="8" t="s">
        <v>27</v>
      </c>
      <c r="B4117" s="8" t="s">
        <v>10</v>
      </c>
      <c r="C4117" s="9" t="str">
        <f t="shared" si="99"/>
        <v>230131</v>
      </c>
      <c r="D4117" s="9" t="str">
        <f>"230908022"</f>
        <v>230908022</v>
      </c>
      <c r="E4117" s="10">
        <v>69.41</v>
      </c>
      <c r="F4117" s="10"/>
      <c r="G4117" s="10">
        <v>72</v>
      </c>
      <c r="H4117" s="10"/>
      <c r="I4117" s="10">
        <v>70.959999999999994</v>
      </c>
    </row>
    <row r="4118" spans="1:9" ht="21.75" customHeight="1">
      <c r="A4118" s="8" t="s">
        <v>27</v>
      </c>
      <c r="B4118" s="8" t="s">
        <v>10</v>
      </c>
      <c r="C4118" s="9" t="str">
        <f t="shared" si="99"/>
        <v>230131</v>
      </c>
      <c r="D4118" s="9" t="str">
        <f>"230908107"</f>
        <v>230908107</v>
      </c>
      <c r="E4118" s="10">
        <v>66.41</v>
      </c>
      <c r="F4118" s="10"/>
      <c r="G4118" s="10">
        <v>73.5</v>
      </c>
      <c r="H4118" s="10"/>
      <c r="I4118" s="10">
        <v>70.66</v>
      </c>
    </row>
    <row r="4119" spans="1:9" s="1" customFormat="1" ht="21.75" customHeight="1">
      <c r="A4119" s="8" t="s">
        <v>27</v>
      </c>
      <c r="B4119" s="8" t="s">
        <v>10</v>
      </c>
      <c r="C4119" s="9" t="str">
        <f t="shared" si="99"/>
        <v>230131</v>
      </c>
      <c r="D4119" s="9" t="str">
        <f>"230908517"</f>
        <v>230908517</v>
      </c>
      <c r="E4119" s="10">
        <v>62.37</v>
      </c>
      <c r="F4119" s="10"/>
      <c r="G4119" s="10">
        <v>76</v>
      </c>
      <c r="H4119" s="10"/>
      <c r="I4119" s="10">
        <v>70.55</v>
      </c>
    </row>
    <row r="4120" spans="1:9" ht="21.75" customHeight="1">
      <c r="A4120" s="8" t="s">
        <v>27</v>
      </c>
      <c r="B4120" s="8" t="s">
        <v>10</v>
      </c>
      <c r="C4120" s="9" t="str">
        <f t="shared" si="99"/>
        <v>230131</v>
      </c>
      <c r="D4120" s="9" t="str">
        <f>"230908223"</f>
        <v>230908223</v>
      </c>
      <c r="E4120" s="10">
        <v>71.36</v>
      </c>
      <c r="F4120" s="10"/>
      <c r="G4120" s="10">
        <v>70</v>
      </c>
      <c r="H4120" s="10"/>
      <c r="I4120" s="10">
        <v>70.540000000000006</v>
      </c>
    </row>
    <row r="4121" spans="1:9" s="1" customFormat="1" ht="21.75" customHeight="1">
      <c r="A4121" s="8" t="s">
        <v>27</v>
      </c>
      <c r="B4121" s="8" t="s">
        <v>10</v>
      </c>
      <c r="C4121" s="9" t="str">
        <f t="shared" si="99"/>
        <v>230131</v>
      </c>
      <c r="D4121" s="9" t="str">
        <f>"230908108"</f>
        <v>230908108</v>
      </c>
      <c r="E4121" s="10">
        <v>61.33</v>
      </c>
      <c r="F4121" s="10"/>
      <c r="G4121" s="10">
        <v>76.5</v>
      </c>
      <c r="H4121" s="10"/>
      <c r="I4121" s="10">
        <v>70.430000000000007</v>
      </c>
    </row>
    <row r="4122" spans="1:9" s="1" customFormat="1" ht="21.75" customHeight="1">
      <c r="A4122" s="8" t="s">
        <v>27</v>
      </c>
      <c r="B4122" s="8" t="s">
        <v>10</v>
      </c>
      <c r="C4122" s="9" t="str">
        <f t="shared" si="99"/>
        <v>230131</v>
      </c>
      <c r="D4122" s="9" t="str">
        <f>"230908126"</f>
        <v>230908126</v>
      </c>
      <c r="E4122" s="10">
        <v>72.39</v>
      </c>
      <c r="F4122" s="10"/>
      <c r="G4122" s="10">
        <v>69</v>
      </c>
      <c r="H4122" s="10"/>
      <c r="I4122" s="10">
        <v>70.36</v>
      </c>
    </row>
    <row r="4123" spans="1:9" ht="21.75" customHeight="1">
      <c r="A4123" s="8" t="s">
        <v>27</v>
      </c>
      <c r="B4123" s="8" t="s">
        <v>10</v>
      </c>
      <c r="C4123" s="9" t="str">
        <f t="shared" si="99"/>
        <v>230131</v>
      </c>
      <c r="D4123" s="9" t="str">
        <f>"230908401"</f>
        <v>230908401</v>
      </c>
      <c r="E4123" s="10">
        <v>70.900000000000006</v>
      </c>
      <c r="F4123" s="10"/>
      <c r="G4123" s="10">
        <v>70</v>
      </c>
      <c r="H4123" s="10"/>
      <c r="I4123" s="10">
        <v>70.36</v>
      </c>
    </row>
    <row r="4124" spans="1:9" ht="21.75" customHeight="1">
      <c r="A4124" s="8" t="s">
        <v>27</v>
      </c>
      <c r="B4124" s="8" t="s">
        <v>10</v>
      </c>
      <c r="C4124" s="9" t="str">
        <f t="shared" si="99"/>
        <v>230131</v>
      </c>
      <c r="D4124" s="9" t="str">
        <f>"230908424"</f>
        <v>230908424</v>
      </c>
      <c r="E4124" s="10">
        <v>74.92</v>
      </c>
      <c r="F4124" s="10"/>
      <c r="G4124" s="10">
        <v>67</v>
      </c>
      <c r="H4124" s="10"/>
      <c r="I4124" s="10">
        <v>70.17</v>
      </c>
    </row>
    <row r="4125" spans="1:9" s="1" customFormat="1" ht="21.75" customHeight="1">
      <c r="A4125" s="8" t="s">
        <v>27</v>
      </c>
      <c r="B4125" s="8" t="s">
        <v>10</v>
      </c>
      <c r="C4125" s="9" t="str">
        <f t="shared" si="99"/>
        <v>230131</v>
      </c>
      <c r="D4125" s="9" t="str">
        <f>"230908518"</f>
        <v>230908518</v>
      </c>
      <c r="E4125" s="10">
        <v>66.650000000000006</v>
      </c>
      <c r="F4125" s="10"/>
      <c r="G4125" s="10">
        <v>72.5</v>
      </c>
      <c r="H4125" s="10"/>
      <c r="I4125" s="10">
        <v>70.16</v>
      </c>
    </row>
    <row r="4126" spans="1:9" ht="21.75" customHeight="1">
      <c r="A4126" s="8" t="s">
        <v>27</v>
      </c>
      <c r="B4126" s="8" t="s">
        <v>10</v>
      </c>
      <c r="C4126" s="9" t="str">
        <f t="shared" si="99"/>
        <v>230131</v>
      </c>
      <c r="D4126" s="9" t="str">
        <f>"230908403"</f>
        <v>230908403</v>
      </c>
      <c r="E4126" s="10">
        <v>63.52</v>
      </c>
      <c r="F4126" s="10"/>
      <c r="G4126" s="10">
        <v>74.5</v>
      </c>
      <c r="H4126" s="10"/>
      <c r="I4126" s="10">
        <v>70.11</v>
      </c>
    </row>
    <row r="4127" spans="1:9" ht="21.75" customHeight="1">
      <c r="A4127" s="8" t="s">
        <v>27</v>
      </c>
      <c r="B4127" s="8" t="s">
        <v>10</v>
      </c>
      <c r="C4127" s="9" t="str">
        <f t="shared" si="99"/>
        <v>230131</v>
      </c>
      <c r="D4127" s="9" t="str">
        <f>"230908320"</f>
        <v>230908320</v>
      </c>
      <c r="E4127" s="10">
        <v>64.790000000000006</v>
      </c>
      <c r="F4127" s="10"/>
      <c r="G4127" s="10">
        <v>73.5</v>
      </c>
      <c r="H4127" s="10"/>
      <c r="I4127" s="10">
        <v>70.02</v>
      </c>
    </row>
    <row r="4128" spans="1:9" ht="21.75" customHeight="1">
      <c r="A4128" s="8" t="s">
        <v>27</v>
      </c>
      <c r="B4128" s="8" t="s">
        <v>10</v>
      </c>
      <c r="C4128" s="9" t="str">
        <f t="shared" si="99"/>
        <v>230131</v>
      </c>
      <c r="D4128" s="9" t="str">
        <f>"230908119"</f>
        <v>230908119</v>
      </c>
      <c r="E4128" s="10">
        <v>66.86</v>
      </c>
      <c r="F4128" s="10"/>
      <c r="G4128" s="10">
        <v>72</v>
      </c>
      <c r="H4128" s="10"/>
      <c r="I4128" s="10">
        <v>69.94</v>
      </c>
    </row>
    <row r="4129" spans="1:9" ht="21.75" customHeight="1">
      <c r="A4129" s="8" t="s">
        <v>27</v>
      </c>
      <c r="B4129" s="8" t="s">
        <v>10</v>
      </c>
      <c r="C4129" s="9" t="str">
        <f t="shared" si="99"/>
        <v>230131</v>
      </c>
      <c r="D4129" s="9" t="str">
        <f>"230908406"</f>
        <v>230908406</v>
      </c>
      <c r="E4129" s="10">
        <v>70.55</v>
      </c>
      <c r="F4129" s="10"/>
      <c r="G4129" s="10">
        <v>69.5</v>
      </c>
      <c r="H4129" s="10"/>
      <c r="I4129" s="10">
        <v>69.92</v>
      </c>
    </row>
    <row r="4130" spans="1:9" s="1" customFormat="1" ht="21.75" customHeight="1">
      <c r="A4130" s="8" t="s">
        <v>27</v>
      </c>
      <c r="B4130" s="8" t="s">
        <v>10</v>
      </c>
      <c r="C4130" s="9" t="str">
        <f t="shared" ref="C4130:C4161" si="100">"230131"</f>
        <v>230131</v>
      </c>
      <c r="D4130" s="9" t="str">
        <f>"230908422"</f>
        <v>230908422</v>
      </c>
      <c r="E4130" s="10">
        <v>70.459999999999994</v>
      </c>
      <c r="F4130" s="10"/>
      <c r="G4130" s="10">
        <v>69.5</v>
      </c>
      <c r="H4130" s="10"/>
      <c r="I4130" s="10">
        <v>69.88</v>
      </c>
    </row>
    <row r="4131" spans="1:9" ht="21.75" customHeight="1">
      <c r="A4131" s="8" t="s">
        <v>27</v>
      </c>
      <c r="B4131" s="8" t="s">
        <v>10</v>
      </c>
      <c r="C4131" s="9" t="str">
        <f t="shared" si="100"/>
        <v>230131</v>
      </c>
      <c r="D4131" s="9" t="str">
        <f>"230908323"</f>
        <v>230908323</v>
      </c>
      <c r="E4131" s="10">
        <v>65.14</v>
      </c>
      <c r="F4131" s="10"/>
      <c r="G4131" s="10">
        <v>73</v>
      </c>
      <c r="H4131" s="10"/>
      <c r="I4131" s="10">
        <v>69.86</v>
      </c>
    </row>
    <row r="4132" spans="1:9" s="1" customFormat="1" ht="21.75" customHeight="1">
      <c r="A4132" s="8" t="s">
        <v>27</v>
      </c>
      <c r="B4132" s="8" t="s">
        <v>10</v>
      </c>
      <c r="C4132" s="9" t="str">
        <f t="shared" si="100"/>
        <v>230131</v>
      </c>
      <c r="D4132" s="9" t="str">
        <f>"230908512"</f>
        <v>230908512</v>
      </c>
      <c r="E4132" s="10">
        <v>69.510000000000005</v>
      </c>
      <c r="F4132" s="10"/>
      <c r="G4132" s="10">
        <v>70</v>
      </c>
      <c r="H4132" s="10"/>
      <c r="I4132" s="10">
        <v>69.8</v>
      </c>
    </row>
    <row r="4133" spans="1:9" ht="21.75" customHeight="1">
      <c r="A4133" s="8" t="s">
        <v>27</v>
      </c>
      <c r="B4133" s="8" t="s">
        <v>10</v>
      </c>
      <c r="C4133" s="9" t="str">
        <f t="shared" si="100"/>
        <v>230131</v>
      </c>
      <c r="D4133" s="9" t="str">
        <f>"230908130"</f>
        <v>230908130</v>
      </c>
      <c r="E4133" s="10">
        <v>67.09</v>
      </c>
      <c r="F4133" s="10"/>
      <c r="G4133" s="10">
        <v>71</v>
      </c>
      <c r="H4133" s="10"/>
      <c r="I4133" s="10">
        <v>69.44</v>
      </c>
    </row>
    <row r="4134" spans="1:9" s="1" customFormat="1" ht="21.75" customHeight="1">
      <c r="A4134" s="8" t="s">
        <v>27</v>
      </c>
      <c r="B4134" s="8" t="s">
        <v>10</v>
      </c>
      <c r="C4134" s="9" t="str">
        <f t="shared" si="100"/>
        <v>230131</v>
      </c>
      <c r="D4134" s="9" t="str">
        <f>"230908408"</f>
        <v>230908408</v>
      </c>
      <c r="E4134" s="10">
        <v>60.91</v>
      </c>
      <c r="F4134" s="10"/>
      <c r="G4134" s="10">
        <v>75</v>
      </c>
      <c r="H4134" s="10"/>
      <c r="I4134" s="10">
        <v>69.36</v>
      </c>
    </row>
    <row r="4135" spans="1:9" s="1" customFormat="1" ht="21.75" customHeight="1">
      <c r="A4135" s="8" t="s">
        <v>27</v>
      </c>
      <c r="B4135" s="8" t="s">
        <v>10</v>
      </c>
      <c r="C4135" s="9" t="str">
        <f t="shared" si="100"/>
        <v>230131</v>
      </c>
      <c r="D4135" s="9" t="str">
        <f>"230908504"</f>
        <v>230908504</v>
      </c>
      <c r="E4135" s="10">
        <v>65.13</v>
      </c>
      <c r="F4135" s="10"/>
      <c r="G4135" s="10">
        <v>71</v>
      </c>
      <c r="H4135" s="10"/>
      <c r="I4135" s="10">
        <v>68.650000000000006</v>
      </c>
    </row>
    <row r="4136" spans="1:9" s="1" customFormat="1" ht="21.75" customHeight="1">
      <c r="A4136" s="8" t="s">
        <v>27</v>
      </c>
      <c r="B4136" s="8" t="s">
        <v>10</v>
      </c>
      <c r="C4136" s="9" t="str">
        <f t="shared" si="100"/>
        <v>230131</v>
      </c>
      <c r="D4136" s="9" t="str">
        <f>"230908102"</f>
        <v>230908102</v>
      </c>
      <c r="E4136" s="10">
        <v>67.91</v>
      </c>
      <c r="F4136" s="10"/>
      <c r="G4136" s="10">
        <v>69</v>
      </c>
      <c r="H4136" s="10"/>
      <c r="I4136" s="10">
        <v>68.56</v>
      </c>
    </row>
    <row r="4137" spans="1:9" s="1" customFormat="1" ht="21.75" customHeight="1">
      <c r="A4137" s="8" t="s">
        <v>27</v>
      </c>
      <c r="B4137" s="8" t="s">
        <v>10</v>
      </c>
      <c r="C4137" s="9" t="str">
        <f t="shared" si="100"/>
        <v>230131</v>
      </c>
      <c r="D4137" s="9" t="str">
        <f>"230908221"</f>
        <v>230908221</v>
      </c>
      <c r="E4137" s="10">
        <v>69.290000000000006</v>
      </c>
      <c r="F4137" s="10"/>
      <c r="G4137" s="10">
        <v>68</v>
      </c>
      <c r="H4137" s="10"/>
      <c r="I4137" s="10">
        <v>68.52</v>
      </c>
    </row>
    <row r="4138" spans="1:9" ht="21.75" customHeight="1">
      <c r="A4138" s="8" t="s">
        <v>27</v>
      </c>
      <c r="B4138" s="8" t="s">
        <v>10</v>
      </c>
      <c r="C4138" s="9" t="str">
        <f t="shared" si="100"/>
        <v>230131</v>
      </c>
      <c r="D4138" s="9" t="str">
        <f>"230908513"</f>
        <v>230908513</v>
      </c>
      <c r="E4138" s="10">
        <v>63.67</v>
      </c>
      <c r="F4138" s="10"/>
      <c r="G4138" s="10">
        <v>71.5</v>
      </c>
      <c r="H4138" s="10"/>
      <c r="I4138" s="10">
        <v>68.37</v>
      </c>
    </row>
    <row r="4139" spans="1:9" ht="21.75" customHeight="1">
      <c r="A4139" s="8" t="s">
        <v>27</v>
      </c>
      <c r="B4139" s="8" t="s">
        <v>10</v>
      </c>
      <c r="C4139" s="9" t="str">
        <f t="shared" si="100"/>
        <v>230131</v>
      </c>
      <c r="D4139" s="9" t="str">
        <f>"230908326"</f>
        <v>230908326</v>
      </c>
      <c r="E4139" s="10">
        <v>68.48</v>
      </c>
      <c r="F4139" s="10"/>
      <c r="G4139" s="10">
        <v>68</v>
      </c>
      <c r="H4139" s="10"/>
      <c r="I4139" s="10">
        <v>68.19</v>
      </c>
    </row>
    <row r="4140" spans="1:9" s="1" customFormat="1" ht="21.75" customHeight="1">
      <c r="A4140" s="8" t="s">
        <v>27</v>
      </c>
      <c r="B4140" s="8" t="s">
        <v>10</v>
      </c>
      <c r="C4140" s="9" t="str">
        <f t="shared" si="100"/>
        <v>230131</v>
      </c>
      <c r="D4140" s="9" t="str">
        <f>"230908420"</f>
        <v>230908420</v>
      </c>
      <c r="E4140" s="10">
        <v>69.98</v>
      </c>
      <c r="F4140" s="10"/>
      <c r="G4140" s="10">
        <v>67</v>
      </c>
      <c r="H4140" s="10"/>
      <c r="I4140" s="10">
        <v>68.19</v>
      </c>
    </row>
    <row r="4141" spans="1:9" ht="21.75" customHeight="1">
      <c r="A4141" s="8" t="s">
        <v>27</v>
      </c>
      <c r="B4141" s="8" t="s">
        <v>10</v>
      </c>
      <c r="C4141" s="9" t="str">
        <f t="shared" si="100"/>
        <v>230131</v>
      </c>
      <c r="D4141" s="9" t="str">
        <f>"230908201"</f>
        <v>230908201</v>
      </c>
      <c r="E4141" s="10">
        <v>57.78</v>
      </c>
      <c r="F4141" s="10"/>
      <c r="G4141" s="10">
        <v>75</v>
      </c>
      <c r="H4141" s="10"/>
      <c r="I4141" s="10">
        <v>68.11</v>
      </c>
    </row>
    <row r="4142" spans="1:9" s="1" customFormat="1" ht="21.75" customHeight="1">
      <c r="A4142" s="8" t="s">
        <v>27</v>
      </c>
      <c r="B4142" s="8" t="s">
        <v>10</v>
      </c>
      <c r="C4142" s="9" t="str">
        <f t="shared" si="100"/>
        <v>230131</v>
      </c>
      <c r="D4142" s="9" t="str">
        <f>"230908116"</f>
        <v>230908116</v>
      </c>
      <c r="E4142" s="10">
        <v>58.25</v>
      </c>
      <c r="F4142" s="10"/>
      <c r="G4142" s="10">
        <v>74.5</v>
      </c>
      <c r="H4142" s="10"/>
      <c r="I4142" s="10">
        <v>68</v>
      </c>
    </row>
    <row r="4143" spans="1:9" s="1" customFormat="1" ht="21.75" customHeight="1">
      <c r="A4143" s="8" t="s">
        <v>27</v>
      </c>
      <c r="B4143" s="8" t="s">
        <v>10</v>
      </c>
      <c r="C4143" s="9" t="str">
        <f t="shared" si="100"/>
        <v>230131</v>
      </c>
      <c r="D4143" s="9" t="str">
        <f>"230908306"</f>
        <v>230908306</v>
      </c>
      <c r="E4143" s="10">
        <v>62.73</v>
      </c>
      <c r="F4143" s="10"/>
      <c r="G4143" s="10">
        <v>71.5</v>
      </c>
      <c r="H4143" s="10"/>
      <c r="I4143" s="10">
        <v>67.989999999999995</v>
      </c>
    </row>
    <row r="4144" spans="1:9" ht="21.75" customHeight="1">
      <c r="A4144" s="8" t="s">
        <v>27</v>
      </c>
      <c r="B4144" s="8" t="s">
        <v>10</v>
      </c>
      <c r="C4144" s="9" t="str">
        <f t="shared" si="100"/>
        <v>230131</v>
      </c>
      <c r="D4144" s="9" t="str">
        <f>"230908109"</f>
        <v>230908109</v>
      </c>
      <c r="E4144" s="10">
        <v>64.11</v>
      </c>
      <c r="F4144" s="10"/>
      <c r="G4144" s="10">
        <v>70.5</v>
      </c>
      <c r="H4144" s="10"/>
      <c r="I4144" s="10">
        <v>67.94</v>
      </c>
    </row>
    <row r="4145" spans="1:9" s="1" customFormat="1" ht="21.75" customHeight="1">
      <c r="A4145" s="8" t="s">
        <v>27</v>
      </c>
      <c r="B4145" s="8" t="s">
        <v>10</v>
      </c>
      <c r="C4145" s="9" t="str">
        <f t="shared" si="100"/>
        <v>230131</v>
      </c>
      <c r="D4145" s="9" t="str">
        <f>"230908404"</f>
        <v>230908404</v>
      </c>
      <c r="E4145" s="10">
        <v>61.11</v>
      </c>
      <c r="F4145" s="10"/>
      <c r="G4145" s="10">
        <v>72.5</v>
      </c>
      <c r="H4145" s="10"/>
      <c r="I4145" s="10">
        <v>67.94</v>
      </c>
    </row>
    <row r="4146" spans="1:9" ht="21.75" customHeight="1">
      <c r="A4146" s="8" t="s">
        <v>27</v>
      </c>
      <c r="B4146" s="8" t="s">
        <v>10</v>
      </c>
      <c r="C4146" s="9" t="str">
        <f t="shared" si="100"/>
        <v>230131</v>
      </c>
      <c r="D4146" s="9" t="str">
        <f>"230908503"</f>
        <v>230908503</v>
      </c>
      <c r="E4146" s="10">
        <v>63.87</v>
      </c>
      <c r="F4146" s="10"/>
      <c r="G4146" s="10">
        <v>70</v>
      </c>
      <c r="H4146" s="10"/>
      <c r="I4146" s="10">
        <v>67.55</v>
      </c>
    </row>
    <row r="4147" spans="1:9" ht="21.75" customHeight="1">
      <c r="A4147" s="8" t="s">
        <v>27</v>
      </c>
      <c r="B4147" s="8" t="s">
        <v>10</v>
      </c>
      <c r="C4147" s="9" t="str">
        <f t="shared" si="100"/>
        <v>230131</v>
      </c>
      <c r="D4147" s="9" t="str">
        <f>"230908228"</f>
        <v>230908228</v>
      </c>
      <c r="E4147" s="10">
        <v>64.58</v>
      </c>
      <c r="F4147" s="10"/>
      <c r="G4147" s="10">
        <v>69.5</v>
      </c>
      <c r="H4147" s="10"/>
      <c r="I4147" s="10">
        <v>67.53</v>
      </c>
    </row>
    <row r="4148" spans="1:9" ht="21.75" customHeight="1">
      <c r="A4148" s="8" t="s">
        <v>27</v>
      </c>
      <c r="B4148" s="8" t="s">
        <v>10</v>
      </c>
      <c r="C4148" s="9" t="str">
        <f t="shared" si="100"/>
        <v>230131</v>
      </c>
      <c r="D4148" s="9" t="str">
        <f>"230908405"</f>
        <v>230908405</v>
      </c>
      <c r="E4148" s="10">
        <v>63.67</v>
      </c>
      <c r="F4148" s="10"/>
      <c r="G4148" s="10">
        <v>70</v>
      </c>
      <c r="H4148" s="10"/>
      <c r="I4148" s="10">
        <v>67.47</v>
      </c>
    </row>
    <row r="4149" spans="1:9" s="1" customFormat="1" ht="21.75" customHeight="1">
      <c r="A4149" s="8" t="s">
        <v>27</v>
      </c>
      <c r="B4149" s="8" t="s">
        <v>10</v>
      </c>
      <c r="C4149" s="9" t="str">
        <f t="shared" si="100"/>
        <v>230131</v>
      </c>
      <c r="D4149" s="9" t="str">
        <f>"230908415"</f>
        <v>230908415</v>
      </c>
      <c r="E4149" s="10">
        <v>55.14</v>
      </c>
      <c r="F4149" s="10"/>
      <c r="G4149" s="10">
        <v>75.5</v>
      </c>
      <c r="H4149" s="10"/>
      <c r="I4149" s="10">
        <v>67.36</v>
      </c>
    </row>
    <row r="4150" spans="1:9" ht="21.75" customHeight="1">
      <c r="A4150" s="8" t="s">
        <v>27</v>
      </c>
      <c r="B4150" s="8" t="s">
        <v>10</v>
      </c>
      <c r="C4150" s="9" t="str">
        <f t="shared" si="100"/>
        <v>230131</v>
      </c>
      <c r="D4150" s="9" t="str">
        <f>"230908121"</f>
        <v>230908121</v>
      </c>
      <c r="E4150" s="10">
        <v>69.989999999999995</v>
      </c>
      <c r="F4150" s="10"/>
      <c r="G4150" s="10">
        <v>65.5</v>
      </c>
      <c r="H4150" s="10"/>
      <c r="I4150" s="10">
        <v>67.3</v>
      </c>
    </row>
    <row r="4151" spans="1:9" ht="21.75" customHeight="1">
      <c r="A4151" s="8" t="s">
        <v>27</v>
      </c>
      <c r="B4151" s="8" t="s">
        <v>10</v>
      </c>
      <c r="C4151" s="9" t="str">
        <f t="shared" si="100"/>
        <v>230131</v>
      </c>
      <c r="D4151" s="9" t="str">
        <f>"230908330"</f>
        <v>230908330</v>
      </c>
      <c r="E4151" s="10">
        <v>63.66</v>
      </c>
      <c r="F4151" s="10"/>
      <c r="G4151" s="10">
        <v>69.5</v>
      </c>
      <c r="H4151" s="10"/>
      <c r="I4151" s="10">
        <v>67.16</v>
      </c>
    </row>
    <row r="4152" spans="1:9" ht="21.75" customHeight="1">
      <c r="A4152" s="8" t="s">
        <v>27</v>
      </c>
      <c r="B4152" s="8" t="s">
        <v>10</v>
      </c>
      <c r="C4152" s="9" t="str">
        <f t="shared" si="100"/>
        <v>230131</v>
      </c>
      <c r="D4152" s="9" t="str">
        <f>"230908021"</f>
        <v>230908021</v>
      </c>
      <c r="E4152" s="10">
        <v>66.3</v>
      </c>
      <c r="F4152" s="10"/>
      <c r="G4152" s="10">
        <v>67.5</v>
      </c>
      <c r="H4152" s="10"/>
      <c r="I4152" s="10">
        <v>67.02</v>
      </c>
    </row>
    <row r="4153" spans="1:9" ht="21.75" customHeight="1">
      <c r="A4153" s="8" t="s">
        <v>27</v>
      </c>
      <c r="B4153" s="8" t="s">
        <v>10</v>
      </c>
      <c r="C4153" s="9" t="str">
        <f t="shared" si="100"/>
        <v>230131</v>
      </c>
      <c r="D4153" s="9" t="str">
        <f>"230908226"</f>
        <v>230908226</v>
      </c>
      <c r="E4153" s="10">
        <v>61.81</v>
      </c>
      <c r="F4153" s="10"/>
      <c r="G4153" s="10">
        <v>70.5</v>
      </c>
      <c r="H4153" s="10"/>
      <c r="I4153" s="10">
        <v>67.02</v>
      </c>
    </row>
    <row r="4154" spans="1:9" s="1" customFormat="1" ht="21.75" customHeight="1">
      <c r="A4154" s="8" t="s">
        <v>27</v>
      </c>
      <c r="B4154" s="8" t="s">
        <v>10</v>
      </c>
      <c r="C4154" s="9" t="str">
        <f t="shared" si="100"/>
        <v>230131</v>
      </c>
      <c r="D4154" s="9" t="str">
        <f>"230908206"</f>
        <v>230908206</v>
      </c>
      <c r="E4154" s="10">
        <v>68.349999999999994</v>
      </c>
      <c r="F4154" s="10"/>
      <c r="G4154" s="10">
        <v>66</v>
      </c>
      <c r="H4154" s="10"/>
      <c r="I4154" s="10">
        <v>66.94</v>
      </c>
    </row>
    <row r="4155" spans="1:9" s="1" customFormat="1" ht="21.75" customHeight="1">
      <c r="A4155" s="8" t="s">
        <v>27</v>
      </c>
      <c r="B4155" s="8" t="s">
        <v>10</v>
      </c>
      <c r="C4155" s="9" t="str">
        <f t="shared" si="100"/>
        <v>230131</v>
      </c>
      <c r="D4155" s="9" t="str">
        <f>"230908506"</f>
        <v>230908506</v>
      </c>
      <c r="E4155" s="10">
        <v>66.06</v>
      </c>
      <c r="F4155" s="10"/>
      <c r="G4155" s="10">
        <v>67.5</v>
      </c>
      <c r="H4155" s="10"/>
      <c r="I4155" s="10">
        <v>66.92</v>
      </c>
    </row>
    <row r="4156" spans="1:9" ht="21.75" customHeight="1">
      <c r="A4156" s="8" t="s">
        <v>27</v>
      </c>
      <c r="B4156" s="8" t="s">
        <v>10</v>
      </c>
      <c r="C4156" s="9" t="str">
        <f t="shared" si="100"/>
        <v>230131</v>
      </c>
      <c r="D4156" s="9" t="str">
        <f>"230908321"</f>
        <v>230908321</v>
      </c>
      <c r="E4156" s="10">
        <v>61.59</v>
      </c>
      <c r="F4156" s="10"/>
      <c r="G4156" s="10">
        <v>70</v>
      </c>
      <c r="H4156" s="10"/>
      <c r="I4156" s="10">
        <v>66.64</v>
      </c>
    </row>
    <row r="4157" spans="1:9" s="1" customFormat="1" ht="21.75" customHeight="1">
      <c r="A4157" s="8" t="s">
        <v>27</v>
      </c>
      <c r="B4157" s="8" t="s">
        <v>10</v>
      </c>
      <c r="C4157" s="9" t="str">
        <f t="shared" si="100"/>
        <v>230131</v>
      </c>
      <c r="D4157" s="9" t="str">
        <f>"230908222"</f>
        <v>230908222</v>
      </c>
      <c r="E4157" s="10">
        <v>62.76</v>
      </c>
      <c r="F4157" s="10"/>
      <c r="G4157" s="10">
        <v>69</v>
      </c>
      <c r="H4157" s="10"/>
      <c r="I4157" s="10">
        <v>66.5</v>
      </c>
    </row>
    <row r="4158" spans="1:9" s="1" customFormat="1" ht="21.75" customHeight="1">
      <c r="A4158" s="8" t="s">
        <v>27</v>
      </c>
      <c r="B4158" s="8" t="s">
        <v>10</v>
      </c>
      <c r="C4158" s="9" t="str">
        <f t="shared" si="100"/>
        <v>230131</v>
      </c>
      <c r="D4158" s="9" t="str">
        <f>"230908106"</f>
        <v>230908106</v>
      </c>
      <c r="E4158" s="10">
        <v>55.94</v>
      </c>
      <c r="F4158" s="10"/>
      <c r="G4158" s="10">
        <v>73.5</v>
      </c>
      <c r="H4158" s="10"/>
      <c r="I4158" s="10">
        <v>66.48</v>
      </c>
    </row>
    <row r="4159" spans="1:9" ht="21.75" customHeight="1">
      <c r="A4159" s="8" t="s">
        <v>27</v>
      </c>
      <c r="B4159" s="8" t="s">
        <v>10</v>
      </c>
      <c r="C4159" s="9" t="str">
        <f t="shared" si="100"/>
        <v>230131</v>
      </c>
      <c r="D4159" s="9" t="str">
        <f>"230908129"</f>
        <v>230908129</v>
      </c>
      <c r="E4159" s="10">
        <v>69.05</v>
      </c>
      <c r="F4159" s="10"/>
      <c r="G4159" s="10">
        <v>64</v>
      </c>
      <c r="H4159" s="10"/>
      <c r="I4159" s="10">
        <v>66.02</v>
      </c>
    </row>
    <row r="4160" spans="1:9" ht="21.75" customHeight="1">
      <c r="A4160" s="8" t="s">
        <v>27</v>
      </c>
      <c r="B4160" s="8" t="s">
        <v>10</v>
      </c>
      <c r="C4160" s="9" t="str">
        <f t="shared" si="100"/>
        <v>230131</v>
      </c>
      <c r="D4160" s="9" t="str">
        <f>"230908429"</f>
        <v>230908429</v>
      </c>
      <c r="E4160" s="10">
        <v>57.21</v>
      </c>
      <c r="F4160" s="10"/>
      <c r="G4160" s="10">
        <v>71</v>
      </c>
      <c r="H4160" s="10"/>
      <c r="I4160" s="10">
        <v>65.48</v>
      </c>
    </row>
    <row r="4161" spans="1:9" ht="21.75" customHeight="1">
      <c r="A4161" s="8" t="s">
        <v>27</v>
      </c>
      <c r="B4161" s="8" t="s">
        <v>10</v>
      </c>
      <c r="C4161" s="9" t="str">
        <f t="shared" si="100"/>
        <v>230131</v>
      </c>
      <c r="D4161" s="9" t="str">
        <f>"230908027"</f>
        <v>230908027</v>
      </c>
      <c r="E4161" s="10">
        <v>64.680000000000007</v>
      </c>
      <c r="F4161" s="10"/>
      <c r="G4161" s="10">
        <v>66</v>
      </c>
      <c r="H4161" s="10"/>
      <c r="I4161" s="10">
        <v>65.47</v>
      </c>
    </row>
    <row r="4162" spans="1:9" ht="21.75" customHeight="1">
      <c r="A4162" s="8" t="s">
        <v>27</v>
      </c>
      <c r="B4162" s="8" t="s">
        <v>10</v>
      </c>
      <c r="C4162" s="9" t="str">
        <f t="shared" ref="C4162:C4193" si="101">"230131"</f>
        <v>230131</v>
      </c>
      <c r="D4162" s="9" t="str">
        <f>"230908417"</f>
        <v>230908417</v>
      </c>
      <c r="E4162" s="10">
        <v>68.709999999999994</v>
      </c>
      <c r="F4162" s="10"/>
      <c r="G4162" s="10">
        <v>63</v>
      </c>
      <c r="H4162" s="10"/>
      <c r="I4162" s="10">
        <v>65.28</v>
      </c>
    </row>
    <row r="4163" spans="1:9" s="1" customFormat="1" ht="21.75" customHeight="1">
      <c r="A4163" s="8" t="s">
        <v>27</v>
      </c>
      <c r="B4163" s="8" t="s">
        <v>10</v>
      </c>
      <c r="C4163" s="9" t="str">
        <f t="shared" si="101"/>
        <v>230131</v>
      </c>
      <c r="D4163" s="9" t="str">
        <f>"230908510"</f>
        <v>230908510</v>
      </c>
      <c r="E4163" s="10">
        <v>62.63</v>
      </c>
      <c r="F4163" s="10"/>
      <c r="G4163" s="10">
        <v>67</v>
      </c>
      <c r="H4163" s="10"/>
      <c r="I4163" s="10">
        <v>65.25</v>
      </c>
    </row>
    <row r="4164" spans="1:9" ht="21.75" customHeight="1">
      <c r="A4164" s="8" t="s">
        <v>27</v>
      </c>
      <c r="B4164" s="8" t="s">
        <v>10</v>
      </c>
      <c r="C4164" s="9" t="str">
        <f t="shared" si="101"/>
        <v>230131</v>
      </c>
      <c r="D4164" s="9" t="str">
        <f>"230908214"</f>
        <v>230908214</v>
      </c>
      <c r="E4164" s="10">
        <v>56.64</v>
      </c>
      <c r="F4164" s="10"/>
      <c r="G4164" s="10">
        <v>69</v>
      </c>
      <c r="H4164" s="10"/>
      <c r="I4164" s="10">
        <v>64.06</v>
      </c>
    </row>
    <row r="4165" spans="1:9" ht="21.75" customHeight="1">
      <c r="A4165" s="8" t="s">
        <v>27</v>
      </c>
      <c r="B4165" s="8" t="s">
        <v>10</v>
      </c>
      <c r="C4165" s="9" t="str">
        <f t="shared" si="101"/>
        <v>230131</v>
      </c>
      <c r="D4165" s="9" t="str">
        <f>"230908209"</f>
        <v>230908209</v>
      </c>
      <c r="E4165" s="10">
        <v>58.82</v>
      </c>
      <c r="F4165" s="10"/>
      <c r="G4165" s="10">
        <v>67.5</v>
      </c>
      <c r="H4165" s="10"/>
      <c r="I4165" s="10">
        <v>64.03</v>
      </c>
    </row>
    <row r="4166" spans="1:9" s="1" customFormat="1" ht="21.75" customHeight="1">
      <c r="A4166" s="8" t="s">
        <v>27</v>
      </c>
      <c r="B4166" s="8" t="s">
        <v>10</v>
      </c>
      <c r="C4166" s="9" t="str">
        <f t="shared" si="101"/>
        <v>230131</v>
      </c>
      <c r="D4166" s="9" t="str">
        <f>"230908112"</f>
        <v>230908112</v>
      </c>
      <c r="E4166" s="10">
        <v>60.19</v>
      </c>
      <c r="F4166" s="10"/>
      <c r="G4166" s="10">
        <v>66.5</v>
      </c>
      <c r="H4166" s="10"/>
      <c r="I4166" s="10">
        <v>63.98</v>
      </c>
    </row>
    <row r="4167" spans="1:9" s="1" customFormat="1" ht="21.75" customHeight="1">
      <c r="A4167" s="8" t="s">
        <v>27</v>
      </c>
      <c r="B4167" s="8" t="s">
        <v>10</v>
      </c>
      <c r="C4167" s="9" t="str">
        <f t="shared" si="101"/>
        <v>230131</v>
      </c>
      <c r="D4167" s="9" t="str">
        <f>"230908213"</f>
        <v>230908213</v>
      </c>
      <c r="E4167" s="10">
        <v>52.49</v>
      </c>
      <c r="F4167" s="10"/>
      <c r="G4167" s="10">
        <v>68.5</v>
      </c>
      <c r="H4167" s="10"/>
      <c r="I4167" s="10">
        <v>62.1</v>
      </c>
    </row>
    <row r="4168" spans="1:9" s="1" customFormat="1" ht="21.75" customHeight="1">
      <c r="A4168" s="8" t="s">
        <v>27</v>
      </c>
      <c r="B4168" s="8" t="s">
        <v>10</v>
      </c>
      <c r="C4168" s="9" t="str">
        <f t="shared" si="101"/>
        <v>230131</v>
      </c>
      <c r="D4168" s="9" t="str">
        <f>"230908204"</f>
        <v>230908204</v>
      </c>
      <c r="E4168" s="10">
        <v>48.83</v>
      </c>
      <c r="F4168" s="10"/>
      <c r="G4168" s="10">
        <v>70.5</v>
      </c>
      <c r="H4168" s="10"/>
      <c r="I4168" s="10">
        <v>61.83</v>
      </c>
    </row>
    <row r="4169" spans="1:9" ht="21.75" customHeight="1">
      <c r="A4169" s="8" t="s">
        <v>27</v>
      </c>
      <c r="B4169" s="8" t="s">
        <v>10</v>
      </c>
      <c r="C4169" s="9" t="str">
        <f t="shared" si="101"/>
        <v>230131</v>
      </c>
      <c r="D4169" s="9" t="str">
        <f>"230908317"</f>
        <v>230908317</v>
      </c>
      <c r="E4169" s="10">
        <v>62.61</v>
      </c>
      <c r="F4169" s="10"/>
      <c r="G4169" s="10">
        <v>61</v>
      </c>
      <c r="H4169" s="10"/>
      <c r="I4169" s="10">
        <v>61.64</v>
      </c>
    </row>
    <row r="4170" spans="1:9" ht="21.75" customHeight="1">
      <c r="A4170" s="8" t="s">
        <v>27</v>
      </c>
      <c r="B4170" s="8" t="s">
        <v>10</v>
      </c>
      <c r="C4170" s="9" t="str">
        <f t="shared" si="101"/>
        <v>230131</v>
      </c>
      <c r="D4170" s="9" t="str">
        <f>"230908227"</f>
        <v>230908227</v>
      </c>
      <c r="E4170" s="10">
        <v>54.84</v>
      </c>
      <c r="F4170" s="10"/>
      <c r="G4170" s="10">
        <v>66</v>
      </c>
      <c r="H4170" s="10"/>
      <c r="I4170" s="10">
        <v>61.54</v>
      </c>
    </row>
    <row r="4171" spans="1:9" ht="21.75" customHeight="1">
      <c r="A4171" s="8" t="s">
        <v>27</v>
      </c>
      <c r="B4171" s="8" t="s">
        <v>10</v>
      </c>
      <c r="C4171" s="9" t="str">
        <f t="shared" si="101"/>
        <v>230131</v>
      </c>
      <c r="D4171" s="9" t="str">
        <f>"230908111"</f>
        <v>230908111</v>
      </c>
      <c r="E4171" s="10">
        <v>45.27</v>
      </c>
      <c r="F4171" s="10"/>
      <c r="G4171" s="10">
        <v>72</v>
      </c>
      <c r="H4171" s="10"/>
      <c r="I4171" s="10">
        <v>61.31</v>
      </c>
    </row>
    <row r="4172" spans="1:9" s="1" customFormat="1" ht="21.75" customHeight="1">
      <c r="A4172" s="8" t="s">
        <v>27</v>
      </c>
      <c r="B4172" s="8" t="s">
        <v>10</v>
      </c>
      <c r="C4172" s="9" t="str">
        <f t="shared" si="101"/>
        <v>230131</v>
      </c>
      <c r="D4172" s="9" t="str">
        <f>"230908419"</f>
        <v>230908419</v>
      </c>
      <c r="E4172" s="10">
        <v>54.45</v>
      </c>
      <c r="F4172" s="10"/>
      <c r="G4172" s="10">
        <v>59.5</v>
      </c>
      <c r="H4172" s="10"/>
      <c r="I4172" s="10">
        <v>57.48</v>
      </c>
    </row>
    <row r="4173" spans="1:9" ht="21.75" customHeight="1">
      <c r="A4173" s="8" t="s">
        <v>27</v>
      </c>
      <c r="B4173" s="8" t="s">
        <v>10</v>
      </c>
      <c r="C4173" s="9" t="str">
        <f t="shared" si="101"/>
        <v>230131</v>
      </c>
      <c r="D4173" s="9" t="str">
        <f>"230908023"</f>
        <v>230908023</v>
      </c>
      <c r="E4173" s="10">
        <v>0</v>
      </c>
      <c r="F4173" s="10"/>
      <c r="G4173" s="10">
        <v>0</v>
      </c>
      <c r="H4173" s="10"/>
      <c r="I4173" s="10">
        <v>0</v>
      </c>
    </row>
    <row r="4174" spans="1:9" ht="21.75" customHeight="1">
      <c r="A4174" s="8" t="s">
        <v>27</v>
      </c>
      <c r="B4174" s="8" t="s">
        <v>10</v>
      </c>
      <c r="C4174" s="9" t="str">
        <f t="shared" si="101"/>
        <v>230131</v>
      </c>
      <c r="D4174" s="9" t="str">
        <f>"230908101"</f>
        <v>230908101</v>
      </c>
      <c r="E4174" s="10">
        <v>0</v>
      </c>
      <c r="F4174" s="10"/>
      <c r="G4174" s="10">
        <v>0</v>
      </c>
      <c r="H4174" s="10"/>
      <c r="I4174" s="10">
        <v>0</v>
      </c>
    </row>
    <row r="4175" spans="1:9" ht="21.75" customHeight="1">
      <c r="A4175" s="8" t="s">
        <v>27</v>
      </c>
      <c r="B4175" s="8" t="s">
        <v>10</v>
      </c>
      <c r="C4175" s="9" t="str">
        <f t="shared" si="101"/>
        <v>230131</v>
      </c>
      <c r="D4175" s="9" t="str">
        <f>"230908103"</f>
        <v>230908103</v>
      </c>
      <c r="E4175" s="10">
        <v>0</v>
      </c>
      <c r="F4175" s="10"/>
      <c r="G4175" s="10">
        <v>0</v>
      </c>
      <c r="H4175" s="10"/>
      <c r="I4175" s="10">
        <v>0</v>
      </c>
    </row>
    <row r="4176" spans="1:9" ht="21.75" customHeight="1">
      <c r="A4176" s="8" t="s">
        <v>27</v>
      </c>
      <c r="B4176" s="8" t="s">
        <v>10</v>
      </c>
      <c r="C4176" s="9" t="str">
        <f t="shared" si="101"/>
        <v>230131</v>
      </c>
      <c r="D4176" s="9" t="str">
        <f>"230908105"</f>
        <v>230908105</v>
      </c>
      <c r="E4176" s="10">
        <v>0</v>
      </c>
      <c r="F4176" s="10"/>
      <c r="G4176" s="10">
        <v>0</v>
      </c>
      <c r="H4176" s="10"/>
      <c r="I4176" s="10">
        <v>0</v>
      </c>
    </row>
    <row r="4177" spans="1:9" ht="21.75" customHeight="1">
      <c r="A4177" s="8" t="s">
        <v>27</v>
      </c>
      <c r="B4177" s="8" t="s">
        <v>10</v>
      </c>
      <c r="C4177" s="9" t="str">
        <f t="shared" si="101"/>
        <v>230131</v>
      </c>
      <c r="D4177" s="9" t="str">
        <f>"230908115"</f>
        <v>230908115</v>
      </c>
      <c r="E4177" s="10">
        <v>0</v>
      </c>
      <c r="F4177" s="10"/>
      <c r="G4177" s="10">
        <v>0</v>
      </c>
      <c r="H4177" s="10"/>
      <c r="I4177" s="10">
        <v>0</v>
      </c>
    </row>
    <row r="4178" spans="1:9" s="1" customFormat="1" ht="21.75" customHeight="1">
      <c r="A4178" s="8" t="s">
        <v>27</v>
      </c>
      <c r="B4178" s="8" t="s">
        <v>10</v>
      </c>
      <c r="C4178" s="9" t="str">
        <f t="shared" si="101"/>
        <v>230131</v>
      </c>
      <c r="D4178" s="9" t="str">
        <f>"230908117"</f>
        <v>230908117</v>
      </c>
      <c r="E4178" s="10">
        <v>0</v>
      </c>
      <c r="F4178" s="10"/>
      <c r="G4178" s="10">
        <v>0</v>
      </c>
      <c r="H4178" s="10"/>
      <c r="I4178" s="10">
        <v>0</v>
      </c>
    </row>
    <row r="4179" spans="1:9" ht="21.75" customHeight="1">
      <c r="A4179" s="8" t="s">
        <v>27</v>
      </c>
      <c r="B4179" s="8" t="s">
        <v>10</v>
      </c>
      <c r="C4179" s="9" t="str">
        <f t="shared" si="101"/>
        <v>230131</v>
      </c>
      <c r="D4179" s="9" t="str">
        <f>"230908122"</f>
        <v>230908122</v>
      </c>
      <c r="E4179" s="10">
        <v>0</v>
      </c>
      <c r="F4179" s="10"/>
      <c r="G4179" s="10">
        <v>0</v>
      </c>
      <c r="H4179" s="10"/>
      <c r="I4179" s="10">
        <v>0</v>
      </c>
    </row>
    <row r="4180" spans="1:9" ht="21.75" customHeight="1">
      <c r="A4180" s="8" t="s">
        <v>27</v>
      </c>
      <c r="B4180" s="8" t="s">
        <v>10</v>
      </c>
      <c r="C4180" s="9" t="str">
        <f t="shared" si="101"/>
        <v>230131</v>
      </c>
      <c r="D4180" s="9" t="str">
        <f>"230908124"</f>
        <v>230908124</v>
      </c>
      <c r="E4180" s="10">
        <v>0</v>
      </c>
      <c r="F4180" s="10"/>
      <c r="G4180" s="10">
        <v>0</v>
      </c>
      <c r="H4180" s="10"/>
      <c r="I4180" s="10">
        <v>0</v>
      </c>
    </row>
    <row r="4181" spans="1:9" ht="21.75" customHeight="1">
      <c r="A4181" s="8" t="s">
        <v>27</v>
      </c>
      <c r="B4181" s="8" t="s">
        <v>10</v>
      </c>
      <c r="C4181" s="9" t="str">
        <f t="shared" si="101"/>
        <v>230131</v>
      </c>
      <c r="D4181" s="9" t="str">
        <f>"230908125"</f>
        <v>230908125</v>
      </c>
      <c r="E4181" s="10">
        <v>0</v>
      </c>
      <c r="F4181" s="10"/>
      <c r="G4181" s="10">
        <v>0</v>
      </c>
      <c r="H4181" s="10"/>
      <c r="I4181" s="10">
        <v>0</v>
      </c>
    </row>
    <row r="4182" spans="1:9" ht="21.75" customHeight="1">
      <c r="A4182" s="8" t="s">
        <v>27</v>
      </c>
      <c r="B4182" s="8" t="s">
        <v>10</v>
      </c>
      <c r="C4182" s="9" t="str">
        <f t="shared" si="101"/>
        <v>230131</v>
      </c>
      <c r="D4182" s="9" t="str">
        <f>"230908127"</f>
        <v>230908127</v>
      </c>
      <c r="E4182" s="10">
        <v>0</v>
      </c>
      <c r="F4182" s="10"/>
      <c r="G4182" s="10">
        <v>0</v>
      </c>
      <c r="H4182" s="10"/>
      <c r="I4182" s="10">
        <v>0</v>
      </c>
    </row>
    <row r="4183" spans="1:9" ht="21.75" customHeight="1">
      <c r="A4183" s="8" t="s">
        <v>27</v>
      </c>
      <c r="B4183" s="8" t="s">
        <v>10</v>
      </c>
      <c r="C4183" s="9" t="str">
        <f t="shared" si="101"/>
        <v>230131</v>
      </c>
      <c r="D4183" s="9" t="str">
        <f>"230908128"</f>
        <v>230908128</v>
      </c>
      <c r="E4183" s="10">
        <v>0</v>
      </c>
      <c r="F4183" s="10"/>
      <c r="G4183" s="10">
        <v>0</v>
      </c>
      <c r="H4183" s="10"/>
      <c r="I4183" s="10">
        <v>0</v>
      </c>
    </row>
    <row r="4184" spans="1:9" ht="21.75" customHeight="1">
      <c r="A4184" s="8" t="s">
        <v>27</v>
      </c>
      <c r="B4184" s="8" t="s">
        <v>10</v>
      </c>
      <c r="C4184" s="9" t="str">
        <f t="shared" si="101"/>
        <v>230131</v>
      </c>
      <c r="D4184" s="9" t="str">
        <f>"230908205"</f>
        <v>230908205</v>
      </c>
      <c r="E4184" s="10">
        <v>0</v>
      </c>
      <c r="F4184" s="10"/>
      <c r="G4184" s="10">
        <v>0</v>
      </c>
      <c r="H4184" s="10"/>
      <c r="I4184" s="10">
        <v>0</v>
      </c>
    </row>
    <row r="4185" spans="1:9" ht="21.75" customHeight="1">
      <c r="A4185" s="8" t="s">
        <v>27</v>
      </c>
      <c r="B4185" s="8" t="s">
        <v>10</v>
      </c>
      <c r="C4185" s="9" t="str">
        <f t="shared" si="101"/>
        <v>230131</v>
      </c>
      <c r="D4185" s="9" t="str">
        <f>"230908208"</f>
        <v>230908208</v>
      </c>
      <c r="E4185" s="10">
        <v>0</v>
      </c>
      <c r="F4185" s="10"/>
      <c r="G4185" s="10">
        <v>0</v>
      </c>
      <c r="H4185" s="10"/>
      <c r="I4185" s="10">
        <v>0</v>
      </c>
    </row>
    <row r="4186" spans="1:9" s="1" customFormat="1" ht="21.75" customHeight="1">
      <c r="A4186" s="8" t="s">
        <v>27</v>
      </c>
      <c r="B4186" s="8" t="s">
        <v>10</v>
      </c>
      <c r="C4186" s="9" t="str">
        <f t="shared" si="101"/>
        <v>230131</v>
      </c>
      <c r="D4186" s="9" t="str">
        <f>"230908210"</f>
        <v>230908210</v>
      </c>
      <c r="E4186" s="10">
        <v>0</v>
      </c>
      <c r="F4186" s="10"/>
      <c r="G4186" s="10">
        <v>0</v>
      </c>
      <c r="H4186" s="10"/>
      <c r="I4186" s="10">
        <v>0</v>
      </c>
    </row>
    <row r="4187" spans="1:9" ht="21.75" customHeight="1">
      <c r="A4187" s="8" t="s">
        <v>27</v>
      </c>
      <c r="B4187" s="8" t="s">
        <v>10</v>
      </c>
      <c r="C4187" s="9" t="str">
        <f t="shared" si="101"/>
        <v>230131</v>
      </c>
      <c r="D4187" s="9" t="str">
        <f>"230908215"</f>
        <v>230908215</v>
      </c>
      <c r="E4187" s="10">
        <v>0</v>
      </c>
      <c r="F4187" s="10"/>
      <c r="G4187" s="10">
        <v>0</v>
      </c>
      <c r="H4187" s="10"/>
      <c r="I4187" s="10">
        <v>0</v>
      </c>
    </row>
    <row r="4188" spans="1:9" ht="21.75" customHeight="1">
      <c r="A4188" s="8" t="s">
        <v>27</v>
      </c>
      <c r="B4188" s="8" t="s">
        <v>10</v>
      </c>
      <c r="C4188" s="9" t="str">
        <f t="shared" si="101"/>
        <v>230131</v>
      </c>
      <c r="D4188" s="9" t="str">
        <f>"230908217"</f>
        <v>230908217</v>
      </c>
      <c r="E4188" s="10">
        <v>0</v>
      </c>
      <c r="F4188" s="10"/>
      <c r="G4188" s="10">
        <v>0</v>
      </c>
      <c r="H4188" s="10"/>
      <c r="I4188" s="10">
        <v>0</v>
      </c>
    </row>
    <row r="4189" spans="1:9" ht="21.75" customHeight="1">
      <c r="A4189" s="8" t="s">
        <v>27</v>
      </c>
      <c r="B4189" s="8" t="s">
        <v>10</v>
      </c>
      <c r="C4189" s="9" t="str">
        <f t="shared" si="101"/>
        <v>230131</v>
      </c>
      <c r="D4189" s="9" t="str">
        <f>"230908219"</f>
        <v>230908219</v>
      </c>
      <c r="E4189" s="10">
        <v>0</v>
      </c>
      <c r="F4189" s="10"/>
      <c r="G4189" s="10">
        <v>0</v>
      </c>
      <c r="H4189" s="10"/>
      <c r="I4189" s="10">
        <v>0</v>
      </c>
    </row>
    <row r="4190" spans="1:9" s="1" customFormat="1" ht="21.75" customHeight="1">
      <c r="A4190" s="8" t="s">
        <v>27</v>
      </c>
      <c r="B4190" s="8" t="s">
        <v>10</v>
      </c>
      <c r="C4190" s="9" t="str">
        <f t="shared" si="101"/>
        <v>230131</v>
      </c>
      <c r="D4190" s="9" t="str">
        <f>"230908225"</f>
        <v>230908225</v>
      </c>
      <c r="E4190" s="10">
        <v>0</v>
      </c>
      <c r="F4190" s="10"/>
      <c r="G4190" s="10">
        <v>0</v>
      </c>
      <c r="H4190" s="10"/>
      <c r="I4190" s="10">
        <v>0</v>
      </c>
    </row>
    <row r="4191" spans="1:9" ht="21.75" customHeight="1">
      <c r="A4191" s="8" t="s">
        <v>27</v>
      </c>
      <c r="B4191" s="8" t="s">
        <v>10</v>
      </c>
      <c r="C4191" s="9" t="str">
        <f t="shared" si="101"/>
        <v>230131</v>
      </c>
      <c r="D4191" s="9" t="str">
        <f>"230908229"</f>
        <v>230908229</v>
      </c>
      <c r="E4191" s="10">
        <v>0</v>
      </c>
      <c r="F4191" s="10"/>
      <c r="G4191" s="10">
        <v>0</v>
      </c>
      <c r="H4191" s="10"/>
      <c r="I4191" s="10">
        <v>0</v>
      </c>
    </row>
    <row r="4192" spans="1:9" ht="21.75" customHeight="1">
      <c r="A4192" s="8" t="s">
        <v>27</v>
      </c>
      <c r="B4192" s="8" t="s">
        <v>10</v>
      </c>
      <c r="C4192" s="9" t="str">
        <f t="shared" si="101"/>
        <v>230131</v>
      </c>
      <c r="D4192" s="9" t="str">
        <f>"230908230"</f>
        <v>230908230</v>
      </c>
      <c r="E4192" s="10">
        <v>0</v>
      </c>
      <c r="F4192" s="10"/>
      <c r="G4192" s="10">
        <v>0</v>
      </c>
      <c r="H4192" s="10"/>
      <c r="I4192" s="10">
        <v>0</v>
      </c>
    </row>
    <row r="4193" spans="1:9" ht="21.75" customHeight="1">
      <c r="A4193" s="8" t="s">
        <v>27</v>
      </c>
      <c r="B4193" s="8" t="s">
        <v>10</v>
      </c>
      <c r="C4193" s="9" t="str">
        <f t="shared" si="101"/>
        <v>230131</v>
      </c>
      <c r="D4193" s="9" t="str">
        <f>"230908304"</f>
        <v>230908304</v>
      </c>
      <c r="E4193" s="10">
        <v>0</v>
      </c>
      <c r="F4193" s="10"/>
      <c r="G4193" s="10">
        <v>0</v>
      </c>
      <c r="H4193" s="10"/>
      <c r="I4193" s="10">
        <v>0</v>
      </c>
    </row>
    <row r="4194" spans="1:9" ht="21.75" customHeight="1">
      <c r="A4194" s="8" t="s">
        <v>27</v>
      </c>
      <c r="B4194" s="8" t="s">
        <v>10</v>
      </c>
      <c r="C4194" s="9" t="str">
        <f t="shared" ref="C4194:C4219" si="102">"230131"</f>
        <v>230131</v>
      </c>
      <c r="D4194" s="9" t="str">
        <f>"230908305"</f>
        <v>230908305</v>
      </c>
      <c r="E4194" s="10">
        <v>0</v>
      </c>
      <c r="F4194" s="10"/>
      <c r="G4194" s="10">
        <v>0</v>
      </c>
      <c r="H4194" s="10"/>
      <c r="I4194" s="10">
        <v>0</v>
      </c>
    </row>
    <row r="4195" spans="1:9" s="1" customFormat="1" ht="21.75" customHeight="1">
      <c r="A4195" s="8" t="s">
        <v>27</v>
      </c>
      <c r="B4195" s="8" t="s">
        <v>10</v>
      </c>
      <c r="C4195" s="9" t="str">
        <f t="shared" si="102"/>
        <v>230131</v>
      </c>
      <c r="D4195" s="9" t="str">
        <f>"230908307"</f>
        <v>230908307</v>
      </c>
      <c r="E4195" s="10">
        <v>0</v>
      </c>
      <c r="F4195" s="10"/>
      <c r="G4195" s="10">
        <v>0</v>
      </c>
      <c r="H4195" s="10"/>
      <c r="I4195" s="10">
        <v>0</v>
      </c>
    </row>
    <row r="4196" spans="1:9" ht="21.75" customHeight="1">
      <c r="A4196" s="8" t="s">
        <v>27</v>
      </c>
      <c r="B4196" s="8" t="s">
        <v>10</v>
      </c>
      <c r="C4196" s="9" t="str">
        <f t="shared" si="102"/>
        <v>230131</v>
      </c>
      <c r="D4196" s="9" t="str">
        <f>"230908310"</f>
        <v>230908310</v>
      </c>
      <c r="E4196" s="10">
        <v>0</v>
      </c>
      <c r="F4196" s="10"/>
      <c r="G4196" s="10">
        <v>0</v>
      </c>
      <c r="H4196" s="10"/>
      <c r="I4196" s="10">
        <v>0</v>
      </c>
    </row>
    <row r="4197" spans="1:9" s="1" customFormat="1" ht="21.75" customHeight="1">
      <c r="A4197" s="8" t="s">
        <v>27</v>
      </c>
      <c r="B4197" s="8" t="s">
        <v>10</v>
      </c>
      <c r="C4197" s="9" t="str">
        <f t="shared" si="102"/>
        <v>230131</v>
      </c>
      <c r="D4197" s="9" t="str">
        <f>"230908311"</f>
        <v>230908311</v>
      </c>
      <c r="E4197" s="10">
        <v>0</v>
      </c>
      <c r="F4197" s="10"/>
      <c r="G4197" s="10">
        <v>0</v>
      </c>
      <c r="H4197" s="10"/>
      <c r="I4197" s="10">
        <v>0</v>
      </c>
    </row>
    <row r="4198" spans="1:9" ht="21.75" customHeight="1">
      <c r="A4198" s="8" t="s">
        <v>27</v>
      </c>
      <c r="B4198" s="8" t="s">
        <v>10</v>
      </c>
      <c r="C4198" s="9" t="str">
        <f t="shared" si="102"/>
        <v>230131</v>
      </c>
      <c r="D4198" s="9" t="str">
        <f>"230908315"</f>
        <v>230908315</v>
      </c>
      <c r="E4198" s="10">
        <v>0</v>
      </c>
      <c r="F4198" s="10"/>
      <c r="G4198" s="10">
        <v>0</v>
      </c>
      <c r="H4198" s="10"/>
      <c r="I4198" s="10">
        <v>0</v>
      </c>
    </row>
    <row r="4199" spans="1:9" s="1" customFormat="1" ht="21.75" customHeight="1">
      <c r="A4199" s="8" t="s">
        <v>27</v>
      </c>
      <c r="B4199" s="8" t="s">
        <v>10</v>
      </c>
      <c r="C4199" s="9" t="str">
        <f t="shared" si="102"/>
        <v>230131</v>
      </c>
      <c r="D4199" s="9" t="str">
        <f>"230908316"</f>
        <v>230908316</v>
      </c>
      <c r="E4199" s="10">
        <v>0</v>
      </c>
      <c r="F4199" s="10"/>
      <c r="G4199" s="10">
        <v>0</v>
      </c>
      <c r="H4199" s="10"/>
      <c r="I4199" s="10">
        <v>0</v>
      </c>
    </row>
    <row r="4200" spans="1:9" ht="21.75" customHeight="1">
      <c r="A4200" s="8" t="s">
        <v>27</v>
      </c>
      <c r="B4200" s="8" t="s">
        <v>10</v>
      </c>
      <c r="C4200" s="9" t="str">
        <f t="shared" si="102"/>
        <v>230131</v>
      </c>
      <c r="D4200" s="9" t="str">
        <f>"230908319"</f>
        <v>230908319</v>
      </c>
      <c r="E4200" s="10">
        <v>0</v>
      </c>
      <c r="F4200" s="10"/>
      <c r="G4200" s="10">
        <v>0</v>
      </c>
      <c r="H4200" s="10"/>
      <c r="I4200" s="10">
        <v>0</v>
      </c>
    </row>
    <row r="4201" spans="1:9" s="1" customFormat="1" ht="21.75" customHeight="1">
      <c r="A4201" s="8" t="s">
        <v>27</v>
      </c>
      <c r="B4201" s="8" t="s">
        <v>10</v>
      </c>
      <c r="C4201" s="9" t="str">
        <f t="shared" si="102"/>
        <v>230131</v>
      </c>
      <c r="D4201" s="9" t="str">
        <f>"230908322"</f>
        <v>230908322</v>
      </c>
      <c r="E4201" s="10">
        <v>0</v>
      </c>
      <c r="F4201" s="10"/>
      <c r="G4201" s="10">
        <v>0</v>
      </c>
      <c r="H4201" s="10"/>
      <c r="I4201" s="10">
        <v>0</v>
      </c>
    </row>
    <row r="4202" spans="1:9" ht="21.75" customHeight="1">
      <c r="A4202" s="8" t="s">
        <v>27</v>
      </c>
      <c r="B4202" s="8" t="s">
        <v>10</v>
      </c>
      <c r="C4202" s="9" t="str">
        <f t="shared" si="102"/>
        <v>230131</v>
      </c>
      <c r="D4202" s="9" t="str">
        <f>"230908325"</f>
        <v>230908325</v>
      </c>
      <c r="E4202" s="10">
        <v>0</v>
      </c>
      <c r="F4202" s="10"/>
      <c r="G4202" s="10">
        <v>0</v>
      </c>
      <c r="H4202" s="10"/>
      <c r="I4202" s="10">
        <v>0</v>
      </c>
    </row>
    <row r="4203" spans="1:9" ht="21.75" customHeight="1">
      <c r="A4203" s="8" t="s">
        <v>27</v>
      </c>
      <c r="B4203" s="8" t="s">
        <v>10</v>
      </c>
      <c r="C4203" s="9" t="str">
        <f t="shared" si="102"/>
        <v>230131</v>
      </c>
      <c r="D4203" s="9" t="str">
        <f>"230908329"</f>
        <v>230908329</v>
      </c>
      <c r="E4203" s="10">
        <v>0</v>
      </c>
      <c r="F4203" s="10"/>
      <c r="G4203" s="10">
        <v>0</v>
      </c>
      <c r="H4203" s="10"/>
      <c r="I4203" s="10">
        <v>0</v>
      </c>
    </row>
    <row r="4204" spans="1:9" ht="21.75" customHeight="1">
      <c r="A4204" s="8" t="s">
        <v>27</v>
      </c>
      <c r="B4204" s="8" t="s">
        <v>10</v>
      </c>
      <c r="C4204" s="9" t="str">
        <f t="shared" si="102"/>
        <v>230131</v>
      </c>
      <c r="D4204" s="9" t="str">
        <f>"230908402"</f>
        <v>230908402</v>
      </c>
      <c r="E4204" s="10">
        <v>0</v>
      </c>
      <c r="F4204" s="10"/>
      <c r="G4204" s="10">
        <v>0</v>
      </c>
      <c r="H4204" s="10"/>
      <c r="I4204" s="10">
        <v>0</v>
      </c>
    </row>
    <row r="4205" spans="1:9" ht="21.75" customHeight="1">
      <c r="A4205" s="8" t="s">
        <v>27</v>
      </c>
      <c r="B4205" s="8" t="s">
        <v>10</v>
      </c>
      <c r="C4205" s="9" t="str">
        <f t="shared" si="102"/>
        <v>230131</v>
      </c>
      <c r="D4205" s="9" t="str">
        <f>"230908407"</f>
        <v>230908407</v>
      </c>
      <c r="E4205" s="10">
        <v>0</v>
      </c>
      <c r="F4205" s="10"/>
      <c r="G4205" s="10">
        <v>0</v>
      </c>
      <c r="H4205" s="10"/>
      <c r="I4205" s="10">
        <v>0</v>
      </c>
    </row>
    <row r="4206" spans="1:9" ht="21.75" customHeight="1">
      <c r="A4206" s="8" t="s">
        <v>27</v>
      </c>
      <c r="B4206" s="8" t="s">
        <v>10</v>
      </c>
      <c r="C4206" s="9" t="str">
        <f t="shared" si="102"/>
        <v>230131</v>
      </c>
      <c r="D4206" s="9" t="str">
        <f>"230908409"</f>
        <v>230908409</v>
      </c>
      <c r="E4206" s="10">
        <v>0</v>
      </c>
      <c r="F4206" s="10"/>
      <c r="G4206" s="10">
        <v>0</v>
      </c>
      <c r="H4206" s="10"/>
      <c r="I4206" s="10">
        <v>0</v>
      </c>
    </row>
    <row r="4207" spans="1:9" ht="21.75" customHeight="1">
      <c r="A4207" s="8" t="s">
        <v>27</v>
      </c>
      <c r="B4207" s="8" t="s">
        <v>10</v>
      </c>
      <c r="C4207" s="9" t="str">
        <f t="shared" si="102"/>
        <v>230131</v>
      </c>
      <c r="D4207" s="9" t="str">
        <f>"230908411"</f>
        <v>230908411</v>
      </c>
      <c r="E4207" s="10">
        <v>0</v>
      </c>
      <c r="F4207" s="10"/>
      <c r="G4207" s="10">
        <v>0</v>
      </c>
      <c r="H4207" s="10"/>
      <c r="I4207" s="10">
        <v>0</v>
      </c>
    </row>
    <row r="4208" spans="1:9" s="1" customFormat="1" ht="21.75" customHeight="1">
      <c r="A4208" s="8" t="s">
        <v>27</v>
      </c>
      <c r="B4208" s="8" t="s">
        <v>10</v>
      </c>
      <c r="C4208" s="9" t="str">
        <f t="shared" si="102"/>
        <v>230131</v>
      </c>
      <c r="D4208" s="9" t="str">
        <f>"230908412"</f>
        <v>230908412</v>
      </c>
      <c r="E4208" s="10">
        <v>0</v>
      </c>
      <c r="F4208" s="10"/>
      <c r="G4208" s="10">
        <v>0</v>
      </c>
      <c r="H4208" s="10"/>
      <c r="I4208" s="10">
        <v>0</v>
      </c>
    </row>
    <row r="4209" spans="1:9" s="1" customFormat="1" ht="21.75" customHeight="1">
      <c r="A4209" s="8" t="s">
        <v>27</v>
      </c>
      <c r="B4209" s="8" t="s">
        <v>10</v>
      </c>
      <c r="C4209" s="9" t="str">
        <f t="shared" si="102"/>
        <v>230131</v>
      </c>
      <c r="D4209" s="9" t="str">
        <f>"230908413"</f>
        <v>230908413</v>
      </c>
      <c r="E4209" s="10">
        <v>0</v>
      </c>
      <c r="F4209" s="10"/>
      <c r="G4209" s="10">
        <v>0</v>
      </c>
      <c r="H4209" s="10"/>
      <c r="I4209" s="10">
        <v>0</v>
      </c>
    </row>
    <row r="4210" spans="1:9" s="1" customFormat="1" ht="21.75" customHeight="1">
      <c r="A4210" s="8" t="s">
        <v>27</v>
      </c>
      <c r="B4210" s="8" t="s">
        <v>10</v>
      </c>
      <c r="C4210" s="9" t="str">
        <f t="shared" si="102"/>
        <v>230131</v>
      </c>
      <c r="D4210" s="9" t="str">
        <f>"230908416"</f>
        <v>230908416</v>
      </c>
      <c r="E4210" s="10">
        <v>0</v>
      </c>
      <c r="F4210" s="10"/>
      <c r="G4210" s="10">
        <v>0</v>
      </c>
      <c r="H4210" s="10"/>
      <c r="I4210" s="10">
        <v>0</v>
      </c>
    </row>
    <row r="4211" spans="1:9" s="1" customFormat="1" ht="21.75" customHeight="1">
      <c r="A4211" s="8" t="s">
        <v>27</v>
      </c>
      <c r="B4211" s="8" t="s">
        <v>10</v>
      </c>
      <c r="C4211" s="9" t="str">
        <f t="shared" si="102"/>
        <v>230131</v>
      </c>
      <c r="D4211" s="9" t="str">
        <f>"230908418"</f>
        <v>230908418</v>
      </c>
      <c r="E4211" s="10">
        <v>0</v>
      </c>
      <c r="F4211" s="10"/>
      <c r="G4211" s="10">
        <v>0</v>
      </c>
      <c r="H4211" s="10"/>
      <c r="I4211" s="10">
        <v>0</v>
      </c>
    </row>
    <row r="4212" spans="1:9" s="1" customFormat="1" ht="21.75" customHeight="1">
      <c r="A4212" s="8" t="s">
        <v>27</v>
      </c>
      <c r="B4212" s="8" t="s">
        <v>10</v>
      </c>
      <c r="C4212" s="9" t="str">
        <f t="shared" si="102"/>
        <v>230131</v>
      </c>
      <c r="D4212" s="9" t="str">
        <f>"230908427"</f>
        <v>230908427</v>
      </c>
      <c r="E4212" s="10">
        <v>0</v>
      </c>
      <c r="F4212" s="10"/>
      <c r="G4212" s="10">
        <v>0</v>
      </c>
      <c r="H4212" s="10"/>
      <c r="I4212" s="10">
        <v>0</v>
      </c>
    </row>
    <row r="4213" spans="1:9" s="1" customFormat="1" ht="21.75" customHeight="1">
      <c r="A4213" s="8" t="s">
        <v>27</v>
      </c>
      <c r="B4213" s="8" t="s">
        <v>10</v>
      </c>
      <c r="C4213" s="9" t="str">
        <f t="shared" si="102"/>
        <v>230131</v>
      </c>
      <c r="D4213" s="9" t="str">
        <f>"230908428"</f>
        <v>230908428</v>
      </c>
      <c r="E4213" s="10">
        <v>0</v>
      </c>
      <c r="F4213" s="10"/>
      <c r="G4213" s="10">
        <v>0</v>
      </c>
      <c r="H4213" s="10"/>
      <c r="I4213" s="10">
        <v>0</v>
      </c>
    </row>
    <row r="4214" spans="1:9" ht="21.75" customHeight="1">
      <c r="A4214" s="8" t="s">
        <v>27</v>
      </c>
      <c r="B4214" s="8" t="s">
        <v>10</v>
      </c>
      <c r="C4214" s="9" t="str">
        <f t="shared" si="102"/>
        <v>230131</v>
      </c>
      <c r="D4214" s="9" t="str">
        <f>"230908430"</f>
        <v>230908430</v>
      </c>
      <c r="E4214" s="10">
        <v>0</v>
      </c>
      <c r="F4214" s="10"/>
      <c r="G4214" s="10">
        <v>0</v>
      </c>
      <c r="H4214" s="10"/>
      <c r="I4214" s="10">
        <v>0</v>
      </c>
    </row>
    <row r="4215" spans="1:9" ht="21.75" customHeight="1">
      <c r="A4215" s="8" t="s">
        <v>27</v>
      </c>
      <c r="B4215" s="8" t="s">
        <v>10</v>
      </c>
      <c r="C4215" s="9" t="str">
        <f t="shared" si="102"/>
        <v>230131</v>
      </c>
      <c r="D4215" s="9" t="str">
        <f>"230908508"</f>
        <v>230908508</v>
      </c>
      <c r="E4215" s="10">
        <v>0</v>
      </c>
      <c r="F4215" s="10"/>
      <c r="G4215" s="10">
        <v>0</v>
      </c>
      <c r="H4215" s="10"/>
      <c r="I4215" s="10">
        <v>0</v>
      </c>
    </row>
    <row r="4216" spans="1:9" ht="21.75" customHeight="1">
      <c r="A4216" s="8" t="s">
        <v>27</v>
      </c>
      <c r="B4216" s="8" t="s">
        <v>10</v>
      </c>
      <c r="C4216" s="9" t="str">
        <f t="shared" si="102"/>
        <v>230131</v>
      </c>
      <c r="D4216" s="9" t="str">
        <f>"230908509"</f>
        <v>230908509</v>
      </c>
      <c r="E4216" s="10">
        <v>0</v>
      </c>
      <c r="F4216" s="10"/>
      <c r="G4216" s="10">
        <v>0</v>
      </c>
      <c r="H4216" s="10"/>
      <c r="I4216" s="10">
        <v>0</v>
      </c>
    </row>
    <row r="4217" spans="1:9" s="1" customFormat="1" ht="21.75" customHeight="1">
      <c r="A4217" s="8" t="s">
        <v>27</v>
      </c>
      <c r="B4217" s="8" t="s">
        <v>10</v>
      </c>
      <c r="C4217" s="9" t="str">
        <f t="shared" si="102"/>
        <v>230131</v>
      </c>
      <c r="D4217" s="9" t="str">
        <f>"230908514"</f>
        <v>230908514</v>
      </c>
      <c r="E4217" s="10">
        <v>0</v>
      </c>
      <c r="F4217" s="10"/>
      <c r="G4217" s="10">
        <v>0</v>
      </c>
      <c r="H4217" s="10"/>
      <c r="I4217" s="10">
        <v>0</v>
      </c>
    </row>
    <row r="4218" spans="1:9" s="1" customFormat="1" ht="21.75" customHeight="1">
      <c r="A4218" s="8" t="s">
        <v>27</v>
      </c>
      <c r="B4218" s="8" t="s">
        <v>10</v>
      </c>
      <c r="C4218" s="9" t="str">
        <f t="shared" si="102"/>
        <v>230131</v>
      </c>
      <c r="D4218" s="9" t="str">
        <f>"230908521"</f>
        <v>230908521</v>
      </c>
      <c r="E4218" s="10">
        <v>0</v>
      </c>
      <c r="F4218" s="10"/>
      <c r="G4218" s="10">
        <v>0</v>
      </c>
      <c r="H4218" s="10"/>
      <c r="I4218" s="10">
        <v>0</v>
      </c>
    </row>
    <row r="4219" spans="1:9" s="1" customFormat="1" ht="21.75" customHeight="1">
      <c r="A4219" s="8" t="s">
        <v>27</v>
      </c>
      <c r="B4219" s="8" t="s">
        <v>10</v>
      </c>
      <c r="C4219" s="9" t="str">
        <f t="shared" si="102"/>
        <v>230131</v>
      </c>
      <c r="D4219" s="9" t="str">
        <f>"230908522"</f>
        <v>230908522</v>
      </c>
      <c r="E4219" s="10">
        <v>0</v>
      </c>
      <c r="F4219" s="10"/>
      <c r="G4219" s="10">
        <v>0</v>
      </c>
      <c r="H4219" s="10"/>
      <c r="I4219" s="10">
        <v>0</v>
      </c>
    </row>
    <row r="4220" spans="1:9" s="2" customFormat="1" ht="21.75" customHeight="1">
      <c r="A4220" s="8" t="s">
        <v>28</v>
      </c>
      <c r="B4220" s="8" t="s">
        <v>15</v>
      </c>
      <c r="C4220" s="9" t="str">
        <f t="shared" ref="C4220:C4251" si="103">"230132"</f>
        <v>230132</v>
      </c>
      <c r="D4220" s="9" t="str">
        <f>"230908926"</f>
        <v>230908926</v>
      </c>
      <c r="E4220" s="10">
        <v>81.25</v>
      </c>
      <c r="F4220" s="10"/>
      <c r="G4220" s="10">
        <v>79</v>
      </c>
      <c r="H4220" s="10"/>
      <c r="I4220" s="10">
        <v>79.900000000000006</v>
      </c>
    </row>
    <row r="4221" spans="1:9" s="3" customFormat="1" ht="21.75" customHeight="1">
      <c r="A4221" s="8" t="s">
        <v>28</v>
      </c>
      <c r="B4221" s="8" t="s">
        <v>15</v>
      </c>
      <c r="C4221" s="9" t="str">
        <f t="shared" si="103"/>
        <v>230132</v>
      </c>
      <c r="D4221" s="9" t="str">
        <f>"230908701"</f>
        <v>230908701</v>
      </c>
      <c r="E4221" s="10">
        <v>84.81</v>
      </c>
      <c r="F4221" s="10"/>
      <c r="G4221" s="10">
        <v>76</v>
      </c>
      <c r="H4221" s="10"/>
      <c r="I4221" s="10">
        <v>79.52</v>
      </c>
    </row>
    <row r="4222" spans="1:9" s="3" customFormat="1" ht="21.75" customHeight="1">
      <c r="A4222" s="8" t="s">
        <v>28</v>
      </c>
      <c r="B4222" s="8" t="s">
        <v>15</v>
      </c>
      <c r="C4222" s="9" t="str">
        <f t="shared" si="103"/>
        <v>230132</v>
      </c>
      <c r="D4222" s="9" t="str">
        <f>"230909011"</f>
        <v>230909011</v>
      </c>
      <c r="E4222" s="10">
        <v>81.709999999999994</v>
      </c>
      <c r="F4222" s="10"/>
      <c r="G4222" s="10">
        <v>76.5</v>
      </c>
      <c r="H4222" s="10"/>
      <c r="I4222" s="10">
        <v>78.58</v>
      </c>
    </row>
    <row r="4223" spans="1:9" s="2" customFormat="1" ht="21.75" customHeight="1">
      <c r="A4223" s="8" t="s">
        <v>28</v>
      </c>
      <c r="B4223" s="8" t="s">
        <v>15</v>
      </c>
      <c r="C4223" s="9" t="str">
        <f t="shared" si="103"/>
        <v>230132</v>
      </c>
      <c r="D4223" s="9" t="str">
        <f>"230908530"</f>
        <v>230908530</v>
      </c>
      <c r="E4223" s="10">
        <v>74.8</v>
      </c>
      <c r="F4223" s="10"/>
      <c r="G4223" s="10">
        <v>80.5</v>
      </c>
      <c r="H4223" s="10"/>
      <c r="I4223" s="10">
        <v>78.22</v>
      </c>
    </row>
    <row r="4224" spans="1:9" s="3" customFormat="1" ht="21.75" customHeight="1">
      <c r="A4224" s="8" t="s">
        <v>28</v>
      </c>
      <c r="B4224" s="8" t="s">
        <v>15</v>
      </c>
      <c r="C4224" s="9" t="str">
        <f t="shared" si="103"/>
        <v>230132</v>
      </c>
      <c r="D4224" s="9" t="str">
        <f>"230908707"</f>
        <v>230908707</v>
      </c>
      <c r="E4224" s="10">
        <v>76.98</v>
      </c>
      <c r="F4224" s="10"/>
      <c r="G4224" s="10">
        <v>78.5</v>
      </c>
      <c r="H4224" s="10"/>
      <c r="I4224" s="10">
        <v>77.89</v>
      </c>
    </row>
    <row r="4225" spans="1:9" s="2" customFormat="1" ht="21.75" customHeight="1">
      <c r="A4225" s="8" t="s">
        <v>28</v>
      </c>
      <c r="B4225" s="8" t="s">
        <v>15</v>
      </c>
      <c r="C4225" s="9" t="str">
        <f t="shared" si="103"/>
        <v>230132</v>
      </c>
      <c r="D4225" s="9" t="str">
        <f>"230908529"</f>
        <v>230908529</v>
      </c>
      <c r="E4225" s="10">
        <v>86.41</v>
      </c>
      <c r="F4225" s="10"/>
      <c r="G4225" s="10">
        <v>71.5</v>
      </c>
      <c r="H4225" s="10"/>
      <c r="I4225" s="10">
        <v>77.459999999999994</v>
      </c>
    </row>
    <row r="4226" spans="1:9" s="2" customFormat="1" ht="21.75" customHeight="1">
      <c r="A4226" s="8" t="s">
        <v>28</v>
      </c>
      <c r="B4226" s="8" t="s">
        <v>15</v>
      </c>
      <c r="C4226" s="9" t="str">
        <f t="shared" si="103"/>
        <v>230132</v>
      </c>
      <c r="D4226" s="9" t="str">
        <f>"230908604"</f>
        <v>230908604</v>
      </c>
      <c r="E4226" s="10">
        <v>73.45</v>
      </c>
      <c r="F4226" s="10"/>
      <c r="G4226" s="10">
        <v>80</v>
      </c>
      <c r="H4226" s="10"/>
      <c r="I4226" s="10">
        <v>77.38</v>
      </c>
    </row>
    <row r="4227" spans="1:9" s="2" customFormat="1" ht="21.75" customHeight="1">
      <c r="A4227" s="8" t="s">
        <v>28</v>
      </c>
      <c r="B4227" s="8" t="s">
        <v>15</v>
      </c>
      <c r="C4227" s="9" t="str">
        <f t="shared" si="103"/>
        <v>230132</v>
      </c>
      <c r="D4227" s="9" t="str">
        <f>"230908804"</f>
        <v>230908804</v>
      </c>
      <c r="E4227" s="10">
        <v>88.15</v>
      </c>
      <c r="F4227" s="10"/>
      <c r="G4227" s="10">
        <v>70</v>
      </c>
      <c r="H4227" s="10"/>
      <c r="I4227" s="10">
        <v>77.260000000000005</v>
      </c>
    </row>
    <row r="4228" spans="1:9" s="2" customFormat="1" ht="21.75" customHeight="1">
      <c r="A4228" s="8" t="s">
        <v>28</v>
      </c>
      <c r="B4228" s="8" t="s">
        <v>15</v>
      </c>
      <c r="C4228" s="9" t="str">
        <f t="shared" si="103"/>
        <v>230132</v>
      </c>
      <c r="D4228" s="9" t="str">
        <f>"230908629"</f>
        <v>230908629</v>
      </c>
      <c r="E4228" s="10">
        <v>71.12</v>
      </c>
      <c r="F4228" s="10"/>
      <c r="G4228" s="10">
        <v>81</v>
      </c>
      <c r="H4228" s="10"/>
      <c r="I4228" s="10">
        <v>77.05</v>
      </c>
    </row>
    <row r="4229" spans="1:9" s="3" customFormat="1" ht="21.75" customHeight="1">
      <c r="A4229" s="8" t="s">
        <v>28</v>
      </c>
      <c r="B4229" s="8" t="s">
        <v>15</v>
      </c>
      <c r="C4229" s="9" t="str">
        <f t="shared" si="103"/>
        <v>230132</v>
      </c>
      <c r="D4229" s="9" t="str">
        <f>"230908606"</f>
        <v>230908606</v>
      </c>
      <c r="E4229" s="10">
        <v>74.11</v>
      </c>
      <c r="F4229" s="10"/>
      <c r="G4229" s="10">
        <v>79</v>
      </c>
      <c r="H4229" s="10"/>
      <c r="I4229" s="10">
        <v>77.040000000000006</v>
      </c>
    </row>
    <row r="4230" spans="1:9" s="3" customFormat="1" ht="21.75" customHeight="1">
      <c r="A4230" s="8" t="s">
        <v>28</v>
      </c>
      <c r="B4230" s="8" t="s">
        <v>15</v>
      </c>
      <c r="C4230" s="9" t="str">
        <f t="shared" si="103"/>
        <v>230132</v>
      </c>
      <c r="D4230" s="9" t="str">
        <f>"230908916"</f>
        <v>230908916</v>
      </c>
      <c r="E4230" s="10">
        <v>79.739999999999995</v>
      </c>
      <c r="F4230" s="10"/>
      <c r="G4230" s="10">
        <v>75</v>
      </c>
      <c r="H4230" s="10"/>
      <c r="I4230" s="10">
        <v>76.900000000000006</v>
      </c>
    </row>
    <row r="4231" spans="1:9" s="3" customFormat="1" ht="21.75" customHeight="1">
      <c r="A4231" s="8" t="s">
        <v>28</v>
      </c>
      <c r="B4231" s="8" t="s">
        <v>15</v>
      </c>
      <c r="C4231" s="9" t="str">
        <f t="shared" si="103"/>
        <v>230132</v>
      </c>
      <c r="D4231" s="9" t="str">
        <f>"230908615"</f>
        <v>230908615</v>
      </c>
      <c r="E4231" s="10">
        <v>78.7</v>
      </c>
      <c r="F4231" s="10"/>
      <c r="G4231" s="10">
        <v>75</v>
      </c>
      <c r="H4231" s="10"/>
      <c r="I4231" s="10">
        <v>76.48</v>
      </c>
    </row>
    <row r="4232" spans="1:9" s="2" customFormat="1" ht="21.75" customHeight="1">
      <c r="A4232" s="8" t="s">
        <v>28</v>
      </c>
      <c r="B4232" s="8" t="s">
        <v>15</v>
      </c>
      <c r="C4232" s="9" t="str">
        <f t="shared" si="103"/>
        <v>230132</v>
      </c>
      <c r="D4232" s="9" t="str">
        <f>"230909005"</f>
        <v>230909005</v>
      </c>
      <c r="E4232" s="10">
        <v>75.14</v>
      </c>
      <c r="F4232" s="10"/>
      <c r="G4232" s="10">
        <v>76.5</v>
      </c>
      <c r="H4232" s="10"/>
      <c r="I4232" s="10">
        <v>75.959999999999994</v>
      </c>
    </row>
    <row r="4233" spans="1:9" s="2" customFormat="1" ht="21.75" customHeight="1">
      <c r="A4233" s="8" t="s">
        <v>28</v>
      </c>
      <c r="B4233" s="8" t="s">
        <v>15</v>
      </c>
      <c r="C4233" s="9" t="str">
        <f t="shared" si="103"/>
        <v>230132</v>
      </c>
      <c r="D4233" s="9" t="str">
        <f>"230908822"</f>
        <v>230908822</v>
      </c>
      <c r="E4233" s="10">
        <v>78.12</v>
      </c>
      <c r="F4233" s="10"/>
      <c r="G4233" s="10">
        <v>74.5</v>
      </c>
      <c r="H4233" s="10"/>
      <c r="I4233" s="10">
        <v>75.95</v>
      </c>
    </row>
    <row r="4234" spans="1:9" s="2" customFormat="1" ht="21.75" customHeight="1">
      <c r="A4234" s="8" t="s">
        <v>28</v>
      </c>
      <c r="B4234" s="8" t="s">
        <v>15</v>
      </c>
      <c r="C4234" s="9" t="str">
        <f t="shared" si="103"/>
        <v>230132</v>
      </c>
      <c r="D4234" s="9" t="str">
        <f>"230908712"</f>
        <v>230908712</v>
      </c>
      <c r="E4234" s="10">
        <v>74.23</v>
      </c>
      <c r="F4234" s="10"/>
      <c r="G4234" s="10">
        <v>77</v>
      </c>
      <c r="H4234" s="10"/>
      <c r="I4234" s="10">
        <v>75.89</v>
      </c>
    </row>
    <row r="4235" spans="1:9" s="2" customFormat="1" ht="21.75" customHeight="1">
      <c r="A4235" s="8" t="s">
        <v>28</v>
      </c>
      <c r="B4235" s="8" t="s">
        <v>15</v>
      </c>
      <c r="C4235" s="9" t="str">
        <f t="shared" si="103"/>
        <v>230132</v>
      </c>
      <c r="D4235" s="9" t="str">
        <f>"230908802"</f>
        <v>230908802</v>
      </c>
      <c r="E4235" s="10">
        <v>76.989999999999995</v>
      </c>
      <c r="F4235" s="10"/>
      <c r="G4235" s="10">
        <v>75</v>
      </c>
      <c r="H4235" s="10"/>
      <c r="I4235" s="10">
        <v>75.8</v>
      </c>
    </row>
    <row r="4236" spans="1:9" s="3" customFormat="1" ht="21.75" customHeight="1">
      <c r="A4236" s="8" t="s">
        <v>28</v>
      </c>
      <c r="B4236" s="8" t="s">
        <v>15</v>
      </c>
      <c r="C4236" s="9" t="str">
        <f t="shared" si="103"/>
        <v>230132</v>
      </c>
      <c r="D4236" s="9" t="str">
        <f>"230908603"</f>
        <v>230908603</v>
      </c>
      <c r="E4236" s="10">
        <v>84.93</v>
      </c>
      <c r="F4236" s="10"/>
      <c r="G4236" s="10">
        <v>69.5</v>
      </c>
      <c r="H4236" s="10"/>
      <c r="I4236" s="10">
        <v>75.67</v>
      </c>
    </row>
    <row r="4237" spans="1:9" s="2" customFormat="1" ht="21.75" customHeight="1">
      <c r="A4237" s="8" t="s">
        <v>28</v>
      </c>
      <c r="B4237" s="8" t="s">
        <v>15</v>
      </c>
      <c r="C4237" s="9" t="str">
        <f t="shared" si="103"/>
        <v>230132</v>
      </c>
      <c r="D4237" s="9" t="str">
        <f>"230908621"</f>
        <v>230908621</v>
      </c>
      <c r="E4237" s="10">
        <v>76.650000000000006</v>
      </c>
      <c r="F4237" s="10"/>
      <c r="G4237" s="10">
        <v>75</v>
      </c>
      <c r="H4237" s="10"/>
      <c r="I4237" s="10">
        <v>75.66</v>
      </c>
    </row>
    <row r="4238" spans="1:9" s="2" customFormat="1" ht="21.75" customHeight="1">
      <c r="A4238" s="8" t="s">
        <v>28</v>
      </c>
      <c r="B4238" s="8" t="s">
        <v>15</v>
      </c>
      <c r="C4238" s="9" t="str">
        <f t="shared" si="103"/>
        <v>230132</v>
      </c>
      <c r="D4238" s="9" t="str">
        <f>"230908923"</f>
        <v>230908923</v>
      </c>
      <c r="E4238" s="10">
        <v>77.33</v>
      </c>
      <c r="F4238" s="10"/>
      <c r="G4238" s="10">
        <v>74.5</v>
      </c>
      <c r="H4238" s="10"/>
      <c r="I4238" s="10">
        <v>75.63</v>
      </c>
    </row>
    <row r="4239" spans="1:9" s="3" customFormat="1" ht="21.75" customHeight="1">
      <c r="A4239" s="8" t="s">
        <v>28</v>
      </c>
      <c r="B4239" s="8" t="s">
        <v>15</v>
      </c>
      <c r="C4239" s="9" t="str">
        <f t="shared" si="103"/>
        <v>230132</v>
      </c>
      <c r="D4239" s="9" t="str">
        <f>"230908808"</f>
        <v>230908808</v>
      </c>
      <c r="E4239" s="10">
        <v>74.930000000000007</v>
      </c>
      <c r="F4239" s="10"/>
      <c r="G4239" s="10">
        <v>76</v>
      </c>
      <c r="H4239" s="10"/>
      <c r="I4239" s="10">
        <v>75.569999999999993</v>
      </c>
    </row>
    <row r="4240" spans="1:9" s="2" customFormat="1" ht="21.75" customHeight="1">
      <c r="A4240" s="8" t="s">
        <v>28</v>
      </c>
      <c r="B4240" s="8" t="s">
        <v>15</v>
      </c>
      <c r="C4240" s="9" t="str">
        <f t="shared" si="103"/>
        <v>230132</v>
      </c>
      <c r="D4240" s="9" t="str">
        <f>"230908812"</f>
        <v>230908812</v>
      </c>
      <c r="E4240" s="10">
        <v>70.900000000000006</v>
      </c>
      <c r="F4240" s="10"/>
      <c r="G4240" s="10">
        <v>78</v>
      </c>
      <c r="H4240" s="10"/>
      <c r="I4240" s="10">
        <v>75.16</v>
      </c>
    </row>
    <row r="4241" spans="1:9" s="2" customFormat="1" ht="21.75" customHeight="1">
      <c r="A4241" s="8" t="s">
        <v>28</v>
      </c>
      <c r="B4241" s="8" t="s">
        <v>15</v>
      </c>
      <c r="C4241" s="9" t="str">
        <f t="shared" si="103"/>
        <v>230132</v>
      </c>
      <c r="D4241" s="9" t="str">
        <f>"230908611"</f>
        <v>230908611</v>
      </c>
      <c r="E4241" s="10">
        <v>78.73</v>
      </c>
      <c r="F4241" s="10"/>
      <c r="G4241" s="10">
        <v>72.5</v>
      </c>
      <c r="H4241" s="10"/>
      <c r="I4241" s="10">
        <v>74.989999999999995</v>
      </c>
    </row>
    <row r="4242" spans="1:9" s="2" customFormat="1" ht="21.75" customHeight="1">
      <c r="A4242" s="8" t="s">
        <v>28</v>
      </c>
      <c r="B4242" s="8" t="s">
        <v>15</v>
      </c>
      <c r="C4242" s="9" t="str">
        <f t="shared" si="103"/>
        <v>230132</v>
      </c>
      <c r="D4242" s="9" t="str">
        <f>"230908821"</f>
        <v>230908821</v>
      </c>
      <c r="E4242" s="10">
        <v>81.37</v>
      </c>
      <c r="F4242" s="10"/>
      <c r="G4242" s="10">
        <v>70.5</v>
      </c>
      <c r="H4242" s="10"/>
      <c r="I4242" s="10">
        <v>74.849999999999994</v>
      </c>
    </row>
    <row r="4243" spans="1:9" s="2" customFormat="1" ht="21.75" customHeight="1">
      <c r="A4243" s="8" t="s">
        <v>28</v>
      </c>
      <c r="B4243" s="8" t="s">
        <v>15</v>
      </c>
      <c r="C4243" s="9" t="str">
        <f t="shared" si="103"/>
        <v>230132</v>
      </c>
      <c r="D4243" s="9" t="str">
        <f>"230908829"</f>
        <v>230908829</v>
      </c>
      <c r="E4243" s="10">
        <v>74.930000000000007</v>
      </c>
      <c r="F4243" s="10"/>
      <c r="G4243" s="10">
        <v>74.5</v>
      </c>
      <c r="H4243" s="10"/>
      <c r="I4243" s="10">
        <v>74.67</v>
      </c>
    </row>
    <row r="4244" spans="1:9" s="2" customFormat="1" ht="21.75" customHeight="1">
      <c r="A4244" s="8" t="s">
        <v>28</v>
      </c>
      <c r="B4244" s="8" t="s">
        <v>15</v>
      </c>
      <c r="C4244" s="9" t="str">
        <f t="shared" si="103"/>
        <v>230132</v>
      </c>
      <c r="D4244" s="9" t="str">
        <f>"230909012"</f>
        <v>230909012</v>
      </c>
      <c r="E4244" s="10">
        <v>75.5</v>
      </c>
      <c r="F4244" s="10"/>
      <c r="G4244" s="10">
        <v>74</v>
      </c>
      <c r="H4244" s="10"/>
      <c r="I4244" s="10">
        <v>74.599999999999994</v>
      </c>
    </row>
    <row r="4245" spans="1:9" s="3" customFormat="1" ht="21.75" customHeight="1">
      <c r="A4245" s="8" t="s">
        <v>28</v>
      </c>
      <c r="B4245" s="8" t="s">
        <v>15</v>
      </c>
      <c r="C4245" s="9" t="str">
        <f t="shared" si="103"/>
        <v>230132</v>
      </c>
      <c r="D4245" s="9" t="str">
        <f>"230908715"</f>
        <v>230908715</v>
      </c>
      <c r="E4245" s="10">
        <v>69.400000000000006</v>
      </c>
      <c r="F4245" s="10"/>
      <c r="G4245" s="10">
        <v>78</v>
      </c>
      <c r="H4245" s="10"/>
      <c r="I4245" s="10">
        <v>74.56</v>
      </c>
    </row>
    <row r="4246" spans="1:9" s="2" customFormat="1" ht="21.75" customHeight="1">
      <c r="A4246" s="8" t="s">
        <v>28</v>
      </c>
      <c r="B4246" s="8" t="s">
        <v>15</v>
      </c>
      <c r="C4246" s="9" t="str">
        <f t="shared" si="103"/>
        <v>230132</v>
      </c>
      <c r="D4246" s="9" t="str">
        <f>"230908723"</f>
        <v>230908723</v>
      </c>
      <c r="E4246" s="10">
        <v>70.900000000000006</v>
      </c>
      <c r="F4246" s="10"/>
      <c r="G4246" s="10">
        <v>77</v>
      </c>
      <c r="H4246" s="10"/>
      <c r="I4246" s="10">
        <v>74.56</v>
      </c>
    </row>
    <row r="4247" spans="1:9" s="2" customFormat="1" ht="21.75" customHeight="1">
      <c r="A4247" s="8" t="s">
        <v>28</v>
      </c>
      <c r="B4247" s="8" t="s">
        <v>15</v>
      </c>
      <c r="C4247" s="9" t="str">
        <f t="shared" si="103"/>
        <v>230132</v>
      </c>
      <c r="D4247" s="9" t="str">
        <f>"230908623"</f>
        <v>230908623</v>
      </c>
      <c r="E4247" s="10">
        <v>75.36</v>
      </c>
      <c r="F4247" s="10"/>
      <c r="G4247" s="10">
        <v>74</v>
      </c>
      <c r="H4247" s="10"/>
      <c r="I4247" s="10">
        <v>74.540000000000006</v>
      </c>
    </row>
    <row r="4248" spans="1:9" s="2" customFormat="1" ht="21.75" customHeight="1">
      <c r="A4248" s="8" t="s">
        <v>28</v>
      </c>
      <c r="B4248" s="8" t="s">
        <v>15</v>
      </c>
      <c r="C4248" s="9" t="str">
        <f t="shared" si="103"/>
        <v>230132</v>
      </c>
      <c r="D4248" s="9" t="str">
        <f>"230908806"</f>
        <v>230908806</v>
      </c>
      <c r="E4248" s="10">
        <v>74.790000000000006</v>
      </c>
      <c r="F4248" s="10"/>
      <c r="G4248" s="10">
        <v>74</v>
      </c>
      <c r="H4248" s="10"/>
      <c r="I4248" s="10">
        <v>74.319999999999993</v>
      </c>
    </row>
    <row r="4249" spans="1:9" s="2" customFormat="1" ht="21.75" customHeight="1">
      <c r="A4249" s="8" t="s">
        <v>28</v>
      </c>
      <c r="B4249" s="8" t="s">
        <v>15</v>
      </c>
      <c r="C4249" s="9" t="str">
        <f t="shared" si="103"/>
        <v>230132</v>
      </c>
      <c r="D4249" s="9" t="str">
        <f>"230908908"</f>
        <v>230908908</v>
      </c>
      <c r="E4249" s="10">
        <v>71.459999999999994</v>
      </c>
      <c r="F4249" s="10"/>
      <c r="G4249" s="10">
        <v>76</v>
      </c>
      <c r="H4249" s="10"/>
      <c r="I4249" s="10">
        <v>74.180000000000007</v>
      </c>
    </row>
    <row r="4250" spans="1:9" s="3" customFormat="1" ht="21.75" customHeight="1">
      <c r="A4250" s="8" t="s">
        <v>28</v>
      </c>
      <c r="B4250" s="8" t="s">
        <v>15</v>
      </c>
      <c r="C4250" s="9" t="str">
        <f t="shared" si="103"/>
        <v>230132</v>
      </c>
      <c r="D4250" s="9" t="str">
        <f>"230908628"</f>
        <v>230908628</v>
      </c>
      <c r="E4250" s="10">
        <v>72.16</v>
      </c>
      <c r="F4250" s="10"/>
      <c r="G4250" s="10">
        <v>75.5</v>
      </c>
      <c r="H4250" s="10"/>
      <c r="I4250" s="10">
        <v>74.16</v>
      </c>
    </row>
    <row r="4251" spans="1:9" s="2" customFormat="1" ht="21.75" customHeight="1">
      <c r="A4251" s="8" t="s">
        <v>28</v>
      </c>
      <c r="B4251" s="8" t="s">
        <v>15</v>
      </c>
      <c r="C4251" s="9" t="str">
        <f t="shared" si="103"/>
        <v>230132</v>
      </c>
      <c r="D4251" s="9" t="str">
        <f>"230908713"</f>
        <v>230908713</v>
      </c>
      <c r="E4251" s="10">
        <v>68.94</v>
      </c>
      <c r="F4251" s="10"/>
      <c r="G4251" s="10">
        <v>77.5</v>
      </c>
      <c r="H4251" s="10"/>
      <c r="I4251" s="10">
        <v>74.08</v>
      </c>
    </row>
    <row r="4252" spans="1:9" s="2" customFormat="1" ht="21.75" customHeight="1">
      <c r="A4252" s="8" t="s">
        <v>28</v>
      </c>
      <c r="B4252" s="8" t="s">
        <v>15</v>
      </c>
      <c r="C4252" s="9" t="str">
        <f t="shared" ref="C4252:C4283" si="104">"230132"</f>
        <v>230132</v>
      </c>
      <c r="D4252" s="9" t="str">
        <f>"230908814"</f>
        <v>230908814</v>
      </c>
      <c r="E4252" s="10">
        <v>73.44</v>
      </c>
      <c r="F4252" s="10"/>
      <c r="G4252" s="10">
        <v>74.5</v>
      </c>
      <c r="H4252" s="10"/>
      <c r="I4252" s="10">
        <v>74.08</v>
      </c>
    </row>
    <row r="4253" spans="1:9" s="3" customFormat="1" ht="21.75" customHeight="1">
      <c r="A4253" s="8" t="s">
        <v>28</v>
      </c>
      <c r="B4253" s="8" t="s">
        <v>15</v>
      </c>
      <c r="C4253" s="9" t="str">
        <f t="shared" si="104"/>
        <v>230132</v>
      </c>
      <c r="D4253" s="9" t="str">
        <f>"230908620"</f>
        <v>230908620</v>
      </c>
      <c r="E4253" s="10">
        <v>76.290000000000006</v>
      </c>
      <c r="F4253" s="10"/>
      <c r="G4253" s="10">
        <v>72.5</v>
      </c>
      <c r="H4253" s="10"/>
      <c r="I4253" s="10">
        <v>74.02</v>
      </c>
    </row>
    <row r="4254" spans="1:9" s="2" customFormat="1" ht="21.75" customHeight="1">
      <c r="A4254" s="8" t="s">
        <v>28</v>
      </c>
      <c r="B4254" s="8" t="s">
        <v>15</v>
      </c>
      <c r="C4254" s="9" t="str">
        <f t="shared" si="104"/>
        <v>230132</v>
      </c>
      <c r="D4254" s="9" t="str">
        <f>"230908526"</f>
        <v>230908526</v>
      </c>
      <c r="E4254" s="10">
        <v>62.39</v>
      </c>
      <c r="F4254" s="10"/>
      <c r="G4254" s="10">
        <v>81.5</v>
      </c>
      <c r="H4254" s="10"/>
      <c r="I4254" s="10">
        <v>73.86</v>
      </c>
    </row>
    <row r="4255" spans="1:9" s="3" customFormat="1" ht="21.75" customHeight="1">
      <c r="A4255" s="8" t="s">
        <v>28</v>
      </c>
      <c r="B4255" s="8" t="s">
        <v>15</v>
      </c>
      <c r="C4255" s="9" t="str">
        <f t="shared" si="104"/>
        <v>230132</v>
      </c>
      <c r="D4255" s="9" t="str">
        <f>"230908708"</f>
        <v>230908708</v>
      </c>
      <c r="E4255" s="10">
        <v>75.84</v>
      </c>
      <c r="F4255" s="10"/>
      <c r="G4255" s="10">
        <v>72.5</v>
      </c>
      <c r="H4255" s="10"/>
      <c r="I4255" s="10">
        <v>73.84</v>
      </c>
    </row>
    <row r="4256" spans="1:9" s="3" customFormat="1" ht="21.75" customHeight="1">
      <c r="A4256" s="8" t="s">
        <v>28</v>
      </c>
      <c r="B4256" s="8" t="s">
        <v>15</v>
      </c>
      <c r="C4256" s="9" t="str">
        <f t="shared" si="104"/>
        <v>230132</v>
      </c>
      <c r="D4256" s="9" t="str">
        <f>"230908724"</f>
        <v>230908724</v>
      </c>
      <c r="E4256" s="10">
        <v>71.239999999999995</v>
      </c>
      <c r="F4256" s="10"/>
      <c r="G4256" s="10">
        <v>75.5</v>
      </c>
      <c r="H4256" s="10"/>
      <c r="I4256" s="10">
        <v>73.8</v>
      </c>
    </row>
    <row r="4257" spans="1:9" s="3" customFormat="1" ht="21.75" customHeight="1">
      <c r="A4257" s="8" t="s">
        <v>28</v>
      </c>
      <c r="B4257" s="8" t="s">
        <v>15</v>
      </c>
      <c r="C4257" s="9" t="str">
        <f t="shared" si="104"/>
        <v>230132</v>
      </c>
      <c r="D4257" s="9" t="str">
        <f>"230908927"</f>
        <v>230908927</v>
      </c>
      <c r="E4257" s="10">
        <v>73.430000000000007</v>
      </c>
      <c r="F4257" s="10"/>
      <c r="G4257" s="10">
        <v>74</v>
      </c>
      <c r="H4257" s="10"/>
      <c r="I4257" s="10">
        <v>73.77</v>
      </c>
    </row>
    <row r="4258" spans="1:9" s="2" customFormat="1" ht="21.75" customHeight="1">
      <c r="A4258" s="8" t="s">
        <v>28</v>
      </c>
      <c r="B4258" s="8" t="s">
        <v>15</v>
      </c>
      <c r="C4258" s="9" t="str">
        <f t="shared" si="104"/>
        <v>230132</v>
      </c>
      <c r="D4258" s="9" t="str">
        <f>"230908729"</f>
        <v>230908729</v>
      </c>
      <c r="E4258" s="10">
        <v>74.8</v>
      </c>
      <c r="F4258" s="10"/>
      <c r="G4258" s="10">
        <v>73</v>
      </c>
      <c r="H4258" s="10"/>
      <c r="I4258" s="10">
        <v>73.72</v>
      </c>
    </row>
    <row r="4259" spans="1:9" s="3" customFormat="1" ht="21.75" customHeight="1">
      <c r="A4259" s="8" t="s">
        <v>28</v>
      </c>
      <c r="B4259" s="8" t="s">
        <v>15</v>
      </c>
      <c r="C4259" s="9" t="str">
        <f t="shared" si="104"/>
        <v>230132</v>
      </c>
      <c r="D4259" s="9" t="str">
        <f>"230908813"</f>
        <v>230908813</v>
      </c>
      <c r="E4259" s="10">
        <v>64.92</v>
      </c>
      <c r="F4259" s="10"/>
      <c r="G4259" s="10">
        <v>79.5</v>
      </c>
      <c r="H4259" s="10"/>
      <c r="I4259" s="10">
        <v>73.67</v>
      </c>
    </row>
    <row r="4260" spans="1:9" s="3" customFormat="1" ht="21.75" customHeight="1">
      <c r="A4260" s="8" t="s">
        <v>28</v>
      </c>
      <c r="B4260" s="8" t="s">
        <v>15</v>
      </c>
      <c r="C4260" s="9" t="str">
        <f t="shared" si="104"/>
        <v>230132</v>
      </c>
      <c r="D4260" s="9" t="str">
        <f>"230908830"</f>
        <v>230908830</v>
      </c>
      <c r="E4260" s="10">
        <v>75.16</v>
      </c>
      <c r="F4260" s="10"/>
      <c r="G4260" s="10">
        <v>72.5</v>
      </c>
      <c r="H4260" s="10"/>
      <c r="I4260" s="10">
        <v>73.56</v>
      </c>
    </row>
    <row r="4261" spans="1:9" s="3" customFormat="1" ht="21.75" customHeight="1">
      <c r="A4261" s="8" t="s">
        <v>28</v>
      </c>
      <c r="B4261" s="8" t="s">
        <v>15</v>
      </c>
      <c r="C4261" s="9" t="str">
        <f t="shared" si="104"/>
        <v>230132</v>
      </c>
      <c r="D4261" s="9" t="str">
        <f>"230909010"</f>
        <v>230909010</v>
      </c>
      <c r="E4261" s="10">
        <v>72.84</v>
      </c>
      <c r="F4261" s="10"/>
      <c r="G4261" s="10">
        <v>74</v>
      </c>
      <c r="H4261" s="10"/>
      <c r="I4261" s="10">
        <v>73.540000000000006</v>
      </c>
    </row>
    <row r="4262" spans="1:9" s="3" customFormat="1" ht="21.75" customHeight="1">
      <c r="A4262" s="8" t="s">
        <v>28</v>
      </c>
      <c r="B4262" s="8" t="s">
        <v>15</v>
      </c>
      <c r="C4262" s="9" t="str">
        <f t="shared" si="104"/>
        <v>230132</v>
      </c>
      <c r="D4262" s="9" t="str">
        <f>"230908906"</f>
        <v>230908906</v>
      </c>
      <c r="E4262" s="10">
        <v>71.819999999999993</v>
      </c>
      <c r="F4262" s="10"/>
      <c r="G4262" s="10">
        <v>74.5</v>
      </c>
      <c r="H4262" s="10"/>
      <c r="I4262" s="10">
        <v>73.430000000000007</v>
      </c>
    </row>
    <row r="4263" spans="1:9" s="2" customFormat="1" ht="21.75" customHeight="1">
      <c r="A4263" s="8" t="s">
        <v>28</v>
      </c>
      <c r="B4263" s="8" t="s">
        <v>15</v>
      </c>
      <c r="C4263" s="9" t="str">
        <f t="shared" si="104"/>
        <v>230132</v>
      </c>
      <c r="D4263" s="9" t="str">
        <f>"230908922"</f>
        <v>230908922</v>
      </c>
      <c r="E4263" s="10">
        <v>77.69</v>
      </c>
      <c r="F4263" s="10"/>
      <c r="G4263" s="10">
        <v>70.5</v>
      </c>
      <c r="H4263" s="10"/>
      <c r="I4263" s="10">
        <v>73.38</v>
      </c>
    </row>
    <row r="4264" spans="1:9" s="3" customFormat="1" ht="21.75" customHeight="1">
      <c r="A4264" s="8" t="s">
        <v>28</v>
      </c>
      <c r="B4264" s="8" t="s">
        <v>15</v>
      </c>
      <c r="C4264" s="9" t="str">
        <f t="shared" si="104"/>
        <v>230132</v>
      </c>
      <c r="D4264" s="9" t="str">
        <f>"230909001"</f>
        <v>230909001</v>
      </c>
      <c r="E4264" s="10">
        <v>72.959999999999994</v>
      </c>
      <c r="F4264" s="10"/>
      <c r="G4264" s="10">
        <v>73.5</v>
      </c>
      <c r="H4264" s="10"/>
      <c r="I4264" s="10">
        <v>73.28</v>
      </c>
    </row>
    <row r="4265" spans="1:9" s="2" customFormat="1" ht="21.75" customHeight="1">
      <c r="A4265" s="8" t="s">
        <v>28</v>
      </c>
      <c r="B4265" s="8" t="s">
        <v>15</v>
      </c>
      <c r="C4265" s="9" t="str">
        <f t="shared" si="104"/>
        <v>230132</v>
      </c>
      <c r="D4265" s="9" t="str">
        <f>"230908612"</f>
        <v>230908612</v>
      </c>
      <c r="E4265" s="10">
        <v>68.13</v>
      </c>
      <c r="F4265" s="10"/>
      <c r="G4265" s="10">
        <v>76.5</v>
      </c>
      <c r="H4265" s="10"/>
      <c r="I4265" s="10">
        <v>73.150000000000006</v>
      </c>
    </row>
    <row r="4266" spans="1:9" s="2" customFormat="1" ht="21.75" customHeight="1">
      <c r="A4266" s="8" t="s">
        <v>28</v>
      </c>
      <c r="B4266" s="8" t="s">
        <v>15</v>
      </c>
      <c r="C4266" s="9" t="str">
        <f t="shared" si="104"/>
        <v>230132</v>
      </c>
      <c r="D4266" s="9" t="str">
        <f>"230908613"</f>
        <v>230908613</v>
      </c>
      <c r="E4266" s="10">
        <v>77.12</v>
      </c>
      <c r="F4266" s="10"/>
      <c r="G4266" s="10">
        <v>70.5</v>
      </c>
      <c r="H4266" s="10"/>
      <c r="I4266" s="10">
        <v>73.150000000000006</v>
      </c>
    </row>
    <row r="4267" spans="1:9" s="2" customFormat="1" ht="21.75" customHeight="1">
      <c r="A4267" s="8" t="s">
        <v>28</v>
      </c>
      <c r="B4267" s="8" t="s">
        <v>15</v>
      </c>
      <c r="C4267" s="9" t="str">
        <f t="shared" si="104"/>
        <v>230132</v>
      </c>
      <c r="D4267" s="9" t="str">
        <f>"230908602"</f>
        <v>230908602</v>
      </c>
      <c r="E4267" s="10">
        <v>70.209999999999994</v>
      </c>
      <c r="F4267" s="10"/>
      <c r="G4267" s="10">
        <v>75</v>
      </c>
      <c r="H4267" s="10"/>
      <c r="I4267" s="10">
        <v>73.08</v>
      </c>
    </row>
    <row r="4268" spans="1:9" s="3" customFormat="1" ht="21.75" customHeight="1">
      <c r="A4268" s="8" t="s">
        <v>28</v>
      </c>
      <c r="B4268" s="8" t="s">
        <v>15</v>
      </c>
      <c r="C4268" s="9" t="str">
        <f t="shared" si="104"/>
        <v>230132</v>
      </c>
      <c r="D4268" s="9" t="str">
        <f>"230908722"</f>
        <v>230908722</v>
      </c>
      <c r="E4268" s="10">
        <v>70.099999999999994</v>
      </c>
      <c r="F4268" s="10"/>
      <c r="G4268" s="10">
        <v>75</v>
      </c>
      <c r="H4268" s="10"/>
      <c r="I4268" s="10">
        <v>73.040000000000006</v>
      </c>
    </row>
    <row r="4269" spans="1:9" s="2" customFormat="1" ht="21.75" customHeight="1">
      <c r="A4269" s="8" t="s">
        <v>28</v>
      </c>
      <c r="B4269" s="8" t="s">
        <v>15</v>
      </c>
      <c r="C4269" s="9" t="str">
        <f t="shared" si="104"/>
        <v>230132</v>
      </c>
      <c r="D4269" s="9" t="str">
        <f>"230908622"</f>
        <v>230908622</v>
      </c>
      <c r="E4269" s="10">
        <v>70.680000000000007</v>
      </c>
      <c r="F4269" s="10"/>
      <c r="G4269" s="10">
        <v>74.5</v>
      </c>
      <c r="H4269" s="10"/>
      <c r="I4269" s="10">
        <v>72.97</v>
      </c>
    </row>
    <row r="4270" spans="1:9" s="2" customFormat="1" ht="21.75" customHeight="1">
      <c r="A4270" s="8" t="s">
        <v>28</v>
      </c>
      <c r="B4270" s="8" t="s">
        <v>15</v>
      </c>
      <c r="C4270" s="9" t="str">
        <f t="shared" si="104"/>
        <v>230132</v>
      </c>
      <c r="D4270" s="9" t="str">
        <f>"230908924"</f>
        <v>230908924</v>
      </c>
      <c r="E4270" s="10">
        <v>70.67</v>
      </c>
      <c r="F4270" s="10"/>
      <c r="G4270" s="10">
        <v>74</v>
      </c>
      <c r="H4270" s="10"/>
      <c r="I4270" s="10">
        <v>72.67</v>
      </c>
    </row>
    <row r="4271" spans="1:9" s="3" customFormat="1" ht="21.75" customHeight="1">
      <c r="A4271" s="8" t="s">
        <v>28</v>
      </c>
      <c r="B4271" s="8" t="s">
        <v>15</v>
      </c>
      <c r="C4271" s="9" t="str">
        <f t="shared" si="104"/>
        <v>230132</v>
      </c>
      <c r="D4271" s="9" t="str">
        <f>"230908828"</f>
        <v>230908828</v>
      </c>
      <c r="E4271" s="10">
        <v>68.709999999999994</v>
      </c>
      <c r="F4271" s="10"/>
      <c r="G4271" s="10">
        <v>75</v>
      </c>
      <c r="H4271" s="10"/>
      <c r="I4271" s="10">
        <v>72.48</v>
      </c>
    </row>
    <row r="4272" spans="1:9" s="2" customFormat="1" ht="21.75" customHeight="1">
      <c r="A4272" s="8" t="s">
        <v>28</v>
      </c>
      <c r="B4272" s="8" t="s">
        <v>15</v>
      </c>
      <c r="C4272" s="9" t="str">
        <f t="shared" si="104"/>
        <v>230132</v>
      </c>
      <c r="D4272" s="9" t="str">
        <f>"230908913"</f>
        <v>230908913</v>
      </c>
      <c r="E4272" s="10">
        <v>72.39</v>
      </c>
      <c r="F4272" s="10"/>
      <c r="G4272" s="10">
        <v>72.5</v>
      </c>
      <c r="H4272" s="10"/>
      <c r="I4272" s="10">
        <v>72.459999999999994</v>
      </c>
    </row>
    <row r="4273" spans="1:9" s="2" customFormat="1" ht="21.75" customHeight="1">
      <c r="A4273" s="8" t="s">
        <v>28</v>
      </c>
      <c r="B4273" s="8" t="s">
        <v>15</v>
      </c>
      <c r="C4273" s="9" t="str">
        <f t="shared" si="104"/>
        <v>230132</v>
      </c>
      <c r="D4273" s="9" t="str">
        <f>"230908809"</f>
        <v>230908809</v>
      </c>
      <c r="E4273" s="10">
        <v>73.650000000000006</v>
      </c>
      <c r="F4273" s="10"/>
      <c r="G4273" s="10">
        <v>71.5</v>
      </c>
      <c r="H4273" s="10"/>
      <c r="I4273" s="10">
        <v>72.36</v>
      </c>
    </row>
    <row r="4274" spans="1:9" s="2" customFormat="1" ht="21.75" customHeight="1">
      <c r="A4274" s="8" t="s">
        <v>28</v>
      </c>
      <c r="B4274" s="8" t="s">
        <v>15</v>
      </c>
      <c r="C4274" s="9" t="str">
        <f t="shared" si="104"/>
        <v>230132</v>
      </c>
      <c r="D4274" s="9" t="str">
        <f>"230908618"</f>
        <v>230908618</v>
      </c>
      <c r="E4274" s="10">
        <v>75.86</v>
      </c>
      <c r="F4274" s="10"/>
      <c r="G4274" s="10">
        <v>70</v>
      </c>
      <c r="H4274" s="10"/>
      <c r="I4274" s="10">
        <v>72.34</v>
      </c>
    </row>
    <row r="4275" spans="1:9" s="3" customFormat="1" ht="21.75" customHeight="1">
      <c r="A4275" s="8" t="s">
        <v>28</v>
      </c>
      <c r="B4275" s="8" t="s">
        <v>15</v>
      </c>
      <c r="C4275" s="9" t="str">
        <f t="shared" si="104"/>
        <v>230132</v>
      </c>
      <c r="D4275" s="9" t="str">
        <f>"230908925"</f>
        <v>230908925</v>
      </c>
      <c r="E4275" s="10">
        <v>69.86</v>
      </c>
      <c r="F4275" s="10"/>
      <c r="G4275" s="10">
        <v>74</v>
      </c>
      <c r="H4275" s="10"/>
      <c r="I4275" s="10">
        <v>72.34</v>
      </c>
    </row>
    <row r="4276" spans="1:9" s="3" customFormat="1" ht="21.75" customHeight="1">
      <c r="A4276" s="8" t="s">
        <v>28</v>
      </c>
      <c r="B4276" s="8" t="s">
        <v>15</v>
      </c>
      <c r="C4276" s="9" t="str">
        <f t="shared" si="104"/>
        <v>230132</v>
      </c>
      <c r="D4276" s="9" t="str">
        <f>"230908930"</f>
        <v>230908930</v>
      </c>
      <c r="E4276" s="10">
        <v>77.23</v>
      </c>
      <c r="F4276" s="10"/>
      <c r="G4276" s="10">
        <v>69</v>
      </c>
      <c r="H4276" s="10"/>
      <c r="I4276" s="10">
        <v>72.290000000000006</v>
      </c>
    </row>
    <row r="4277" spans="1:9" s="2" customFormat="1" ht="21.75" customHeight="1">
      <c r="A4277" s="8" t="s">
        <v>28</v>
      </c>
      <c r="B4277" s="8" t="s">
        <v>15</v>
      </c>
      <c r="C4277" s="9" t="str">
        <f t="shared" si="104"/>
        <v>230132</v>
      </c>
      <c r="D4277" s="9" t="str">
        <f>"230908805"</f>
        <v>230908805</v>
      </c>
      <c r="E4277" s="10">
        <v>66.98</v>
      </c>
      <c r="F4277" s="10"/>
      <c r="G4277" s="10">
        <v>75.5</v>
      </c>
      <c r="H4277" s="10"/>
      <c r="I4277" s="10">
        <v>72.09</v>
      </c>
    </row>
    <row r="4278" spans="1:9" s="2" customFormat="1" ht="21.75" customHeight="1">
      <c r="A4278" s="8" t="s">
        <v>28</v>
      </c>
      <c r="B4278" s="8" t="s">
        <v>15</v>
      </c>
      <c r="C4278" s="9" t="str">
        <f t="shared" si="104"/>
        <v>230132</v>
      </c>
      <c r="D4278" s="9" t="str">
        <f>"230908719"</f>
        <v>230908719</v>
      </c>
      <c r="E4278" s="10">
        <v>71.13</v>
      </c>
      <c r="F4278" s="10"/>
      <c r="G4278" s="10">
        <v>72.5</v>
      </c>
      <c r="H4278" s="10"/>
      <c r="I4278" s="10">
        <v>71.95</v>
      </c>
    </row>
    <row r="4279" spans="1:9" s="2" customFormat="1" ht="21.75" customHeight="1">
      <c r="A4279" s="8" t="s">
        <v>28</v>
      </c>
      <c r="B4279" s="8" t="s">
        <v>15</v>
      </c>
      <c r="C4279" s="9" t="str">
        <f t="shared" si="104"/>
        <v>230132</v>
      </c>
      <c r="D4279" s="9" t="str">
        <f>"230908720"</f>
        <v>230908720</v>
      </c>
      <c r="E4279" s="10">
        <v>65.84</v>
      </c>
      <c r="F4279" s="10"/>
      <c r="G4279" s="10">
        <v>76</v>
      </c>
      <c r="H4279" s="10"/>
      <c r="I4279" s="10">
        <v>71.94</v>
      </c>
    </row>
    <row r="4280" spans="1:9" s="2" customFormat="1" ht="21.75" customHeight="1">
      <c r="A4280" s="8" t="s">
        <v>28</v>
      </c>
      <c r="B4280" s="8" t="s">
        <v>15</v>
      </c>
      <c r="C4280" s="9" t="str">
        <f t="shared" si="104"/>
        <v>230132</v>
      </c>
      <c r="D4280" s="9" t="str">
        <f>"230908909"</f>
        <v>230908909</v>
      </c>
      <c r="E4280" s="10">
        <v>76.760000000000005</v>
      </c>
      <c r="F4280" s="10"/>
      <c r="G4280" s="10">
        <v>68.5</v>
      </c>
      <c r="H4280" s="10"/>
      <c r="I4280" s="10">
        <v>71.8</v>
      </c>
    </row>
    <row r="4281" spans="1:9" s="2" customFormat="1" ht="21.75" customHeight="1">
      <c r="A4281" s="8" t="s">
        <v>28</v>
      </c>
      <c r="B4281" s="8" t="s">
        <v>15</v>
      </c>
      <c r="C4281" s="9" t="str">
        <f t="shared" si="104"/>
        <v>230132</v>
      </c>
      <c r="D4281" s="9" t="str">
        <f>"230908819"</f>
        <v>230908819</v>
      </c>
      <c r="E4281" s="10">
        <v>67.55</v>
      </c>
      <c r="F4281" s="10"/>
      <c r="G4281" s="10">
        <v>74.5</v>
      </c>
      <c r="H4281" s="10"/>
      <c r="I4281" s="10">
        <v>71.72</v>
      </c>
    </row>
    <row r="4282" spans="1:9" s="2" customFormat="1" ht="21.75" customHeight="1">
      <c r="A4282" s="8" t="s">
        <v>28</v>
      </c>
      <c r="B4282" s="8" t="s">
        <v>15</v>
      </c>
      <c r="C4282" s="9" t="str">
        <f t="shared" si="104"/>
        <v>230132</v>
      </c>
      <c r="D4282" s="9" t="str">
        <f>"230908917"</f>
        <v>230908917</v>
      </c>
      <c r="E4282" s="10">
        <v>68.150000000000006</v>
      </c>
      <c r="F4282" s="10"/>
      <c r="G4282" s="10">
        <v>74</v>
      </c>
      <c r="H4282" s="10"/>
      <c r="I4282" s="10">
        <v>71.66</v>
      </c>
    </row>
    <row r="4283" spans="1:9" s="2" customFormat="1" ht="21.75" customHeight="1">
      <c r="A4283" s="8" t="s">
        <v>28</v>
      </c>
      <c r="B4283" s="8" t="s">
        <v>15</v>
      </c>
      <c r="C4283" s="9" t="str">
        <f t="shared" si="104"/>
        <v>230132</v>
      </c>
      <c r="D4283" s="9" t="str">
        <f>"230908630"</f>
        <v>230908630</v>
      </c>
      <c r="E4283" s="10">
        <v>76.88</v>
      </c>
      <c r="F4283" s="10"/>
      <c r="G4283" s="10">
        <v>68</v>
      </c>
      <c r="H4283" s="10"/>
      <c r="I4283" s="10">
        <v>71.55</v>
      </c>
    </row>
    <row r="4284" spans="1:9" s="3" customFormat="1" ht="21.75" customHeight="1">
      <c r="A4284" s="8" t="s">
        <v>28</v>
      </c>
      <c r="B4284" s="8" t="s">
        <v>15</v>
      </c>
      <c r="C4284" s="9" t="str">
        <f t="shared" ref="C4284:C4315" si="105">"230132"</f>
        <v>230132</v>
      </c>
      <c r="D4284" s="9" t="str">
        <f>"230908625"</f>
        <v>230908625</v>
      </c>
      <c r="E4284" s="10">
        <v>71.459999999999994</v>
      </c>
      <c r="F4284" s="10"/>
      <c r="G4284" s="10">
        <v>71.5</v>
      </c>
      <c r="H4284" s="10"/>
      <c r="I4284" s="10">
        <v>71.48</v>
      </c>
    </row>
    <row r="4285" spans="1:9" s="2" customFormat="1" ht="21.75" customHeight="1">
      <c r="A4285" s="8" t="s">
        <v>28</v>
      </c>
      <c r="B4285" s="8" t="s">
        <v>15</v>
      </c>
      <c r="C4285" s="9" t="str">
        <f t="shared" si="105"/>
        <v>230132</v>
      </c>
      <c r="D4285" s="9" t="str">
        <f>"230908810"</f>
        <v>230908810</v>
      </c>
      <c r="E4285" s="10">
        <v>72.84</v>
      </c>
      <c r="F4285" s="10"/>
      <c r="G4285" s="10">
        <v>70.5</v>
      </c>
      <c r="H4285" s="10"/>
      <c r="I4285" s="10">
        <v>71.44</v>
      </c>
    </row>
    <row r="4286" spans="1:9" s="3" customFormat="1" ht="21.75" customHeight="1">
      <c r="A4286" s="8" t="s">
        <v>28</v>
      </c>
      <c r="B4286" s="8" t="s">
        <v>15</v>
      </c>
      <c r="C4286" s="9" t="str">
        <f t="shared" si="105"/>
        <v>230132</v>
      </c>
      <c r="D4286" s="9" t="str">
        <f>"230908901"</f>
        <v>230908901</v>
      </c>
      <c r="E4286" s="10">
        <v>68.14</v>
      </c>
      <c r="F4286" s="10"/>
      <c r="G4286" s="10">
        <v>73.5</v>
      </c>
      <c r="H4286" s="10"/>
      <c r="I4286" s="10">
        <v>71.36</v>
      </c>
    </row>
    <row r="4287" spans="1:9" s="3" customFormat="1" ht="21.75" customHeight="1">
      <c r="A4287" s="8" t="s">
        <v>28</v>
      </c>
      <c r="B4287" s="8" t="s">
        <v>15</v>
      </c>
      <c r="C4287" s="9" t="str">
        <f t="shared" si="105"/>
        <v>230132</v>
      </c>
      <c r="D4287" s="9" t="str">
        <f>"230908726"</f>
        <v>230908726</v>
      </c>
      <c r="E4287" s="10">
        <v>58.36</v>
      </c>
      <c r="F4287" s="10"/>
      <c r="G4287" s="10">
        <v>80</v>
      </c>
      <c r="H4287" s="10"/>
      <c r="I4287" s="10">
        <v>71.34</v>
      </c>
    </row>
    <row r="4288" spans="1:9" s="2" customFormat="1" ht="21.75" customHeight="1">
      <c r="A4288" s="8" t="s">
        <v>28</v>
      </c>
      <c r="B4288" s="8" t="s">
        <v>15</v>
      </c>
      <c r="C4288" s="9" t="str">
        <f t="shared" si="105"/>
        <v>230132</v>
      </c>
      <c r="D4288" s="9" t="str">
        <f>"230908918"</f>
        <v>230908918</v>
      </c>
      <c r="E4288" s="10">
        <v>64.790000000000006</v>
      </c>
      <c r="F4288" s="10"/>
      <c r="G4288" s="10">
        <v>75.5</v>
      </c>
      <c r="H4288" s="10"/>
      <c r="I4288" s="10">
        <v>71.22</v>
      </c>
    </row>
    <row r="4289" spans="1:9" s="2" customFormat="1" ht="21.75" customHeight="1">
      <c r="A4289" s="8" t="s">
        <v>28</v>
      </c>
      <c r="B4289" s="8" t="s">
        <v>15</v>
      </c>
      <c r="C4289" s="9" t="str">
        <f t="shared" si="105"/>
        <v>230132</v>
      </c>
      <c r="D4289" s="9" t="str">
        <f>"230908619"</f>
        <v>230908619</v>
      </c>
      <c r="E4289" s="10">
        <v>81.239999999999995</v>
      </c>
      <c r="F4289" s="10"/>
      <c r="G4289" s="10">
        <v>64.5</v>
      </c>
      <c r="H4289" s="10"/>
      <c r="I4289" s="10">
        <v>71.2</v>
      </c>
    </row>
    <row r="4290" spans="1:9" s="3" customFormat="1" ht="21.75" customHeight="1">
      <c r="A4290" s="8" t="s">
        <v>28</v>
      </c>
      <c r="B4290" s="8" t="s">
        <v>15</v>
      </c>
      <c r="C4290" s="9" t="str">
        <f t="shared" si="105"/>
        <v>230132</v>
      </c>
      <c r="D4290" s="9" t="str">
        <f>"230908703"</f>
        <v>230908703</v>
      </c>
      <c r="E4290" s="10">
        <v>63.65</v>
      </c>
      <c r="F4290" s="10"/>
      <c r="G4290" s="10">
        <v>76</v>
      </c>
      <c r="H4290" s="10"/>
      <c r="I4290" s="10">
        <v>71.06</v>
      </c>
    </row>
    <row r="4291" spans="1:9" s="2" customFormat="1" ht="21.75" customHeight="1">
      <c r="A4291" s="8" t="s">
        <v>28</v>
      </c>
      <c r="B4291" s="8" t="s">
        <v>15</v>
      </c>
      <c r="C4291" s="9" t="str">
        <f t="shared" si="105"/>
        <v>230132</v>
      </c>
      <c r="D4291" s="9" t="str">
        <f>"230908714"</f>
        <v>230908714</v>
      </c>
      <c r="E4291" s="10">
        <v>69.87</v>
      </c>
      <c r="F4291" s="10"/>
      <c r="G4291" s="10">
        <v>71.5</v>
      </c>
      <c r="H4291" s="10"/>
      <c r="I4291" s="10">
        <v>70.849999999999994</v>
      </c>
    </row>
    <row r="4292" spans="1:9" s="2" customFormat="1" ht="21.75" customHeight="1">
      <c r="A4292" s="8" t="s">
        <v>28</v>
      </c>
      <c r="B4292" s="8" t="s">
        <v>15</v>
      </c>
      <c r="C4292" s="9" t="str">
        <f t="shared" si="105"/>
        <v>230132</v>
      </c>
      <c r="D4292" s="9" t="str">
        <f>"230909006"</f>
        <v>230909006</v>
      </c>
      <c r="E4292" s="10">
        <v>65.38</v>
      </c>
      <c r="F4292" s="10"/>
      <c r="G4292" s="10">
        <v>74.5</v>
      </c>
      <c r="H4292" s="10"/>
      <c r="I4292" s="10">
        <v>70.849999999999994</v>
      </c>
    </row>
    <row r="4293" spans="1:9" s="2" customFormat="1" ht="21.75" customHeight="1">
      <c r="A4293" s="8" t="s">
        <v>28</v>
      </c>
      <c r="B4293" s="8" t="s">
        <v>15</v>
      </c>
      <c r="C4293" s="9" t="str">
        <f t="shared" si="105"/>
        <v>230132</v>
      </c>
      <c r="D4293" s="9" t="str">
        <f>"230908704"</f>
        <v>230908704</v>
      </c>
      <c r="E4293" s="10">
        <v>66.069999999999993</v>
      </c>
      <c r="F4293" s="10"/>
      <c r="G4293" s="10">
        <v>74</v>
      </c>
      <c r="H4293" s="10"/>
      <c r="I4293" s="10">
        <v>70.83</v>
      </c>
    </row>
    <row r="4294" spans="1:9" s="2" customFormat="1" ht="21.75" customHeight="1">
      <c r="A4294" s="8" t="s">
        <v>28</v>
      </c>
      <c r="B4294" s="8" t="s">
        <v>15</v>
      </c>
      <c r="C4294" s="9" t="str">
        <f t="shared" si="105"/>
        <v>230132</v>
      </c>
      <c r="D4294" s="9" t="str">
        <f>"230909008"</f>
        <v>230909008</v>
      </c>
      <c r="E4294" s="10">
        <v>69.98</v>
      </c>
      <c r="F4294" s="10"/>
      <c r="G4294" s="10">
        <v>71</v>
      </c>
      <c r="H4294" s="10"/>
      <c r="I4294" s="10">
        <v>70.59</v>
      </c>
    </row>
    <row r="4295" spans="1:9" s="2" customFormat="1" ht="21.75" customHeight="1">
      <c r="A4295" s="8" t="s">
        <v>28</v>
      </c>
      <c r="B4295" s="8" t="s">
        <v>15</v>
      </c>
      <c r="C4295" s="9" t="str">
        <f t="shared" si="105"/>
        <v>230132</v>
      </c>
      <c r="D4295" s="9" t="str">
        <f>"230908605"</f>
        <v>230908605</v>
      </c>
      <c r="E4295" s="10">
        <v>76.650000000000006</v>
      </c>
      <c r="F4295" s="10"/>
      <c r="G4295" s="10">
        <v>66.5</v>
      </c>
      <c r="H4295" s="10"/>
      <c r="I4295" s="10">
        <v>70.56</v>
      </c>
    </row>
    <row r="4296" spans="1:9" s="3" customFormat="1" ht="21.75" customHeight="1">
      <c r="A4296" s="8" t="s">
        <v>28</v>
      </c>
      <c r="B4296" s="8" t="s">
        <v>15</v>
      </c>
      <c r="C4296" s="9" t="str">
        <f t="shared" si="105"/>
        <v>230132</v>
      </c>
      <c r="D4296" s="9" t="str">
        <f>"230908921"</f>
        <v>230908921</v>
      </c>
      <c r="E4296" s="10">
        <v>69.64</v>
      </c>
      <c r="F4296" s="10"/>
      <c r="G4296" s="10">
        <v>71</v>
      </c>
      <c r="H4296" s="10"/>
      <c r="I4296" s="10">
        <v>70.459999999999994</v>
      </c>
    </row>
    <row r="4297" spans="1:9" s="3" customFormat="1" ht="21.75" customHeight="1">
      <c r="A4297" s="8" t="s">
        <v>28</v>
      </c>
      <c r="B4297" s="8" t="s">
        <v>15</v>
      </c>
      <c r="C4297" s="9" t="str">
        <f t="shared" si="105"/>
        <v>230132</v>
      </c>
      <c r="D4297" s="9" t="str">
        <f>"230908919"</f>
        <v>230908919</v>
      </c>
      <c r="E4297" s="10">
        <v>70.78</v>
      </c>
      <c r="F4297" s="10"/>
      <c r="G4297" s="10">
        <v>70</v>
      </c>
      <c r="H4297" s="10"/>
      <c r="I4297" s="10">
        <v>70.31</v>
      </c>
    </row>
    <row r="4298" spans="1:9" s="2" customFormat="1" ht="21.75" customHeight="1">
      <c r="A4298" s="8" t="s">
        <v>28</v>
      </c>
      <c r="B4298" s="8" t="s">
        <v>15</v>
      </c>
      <c r="C4298" s="9" t="str">
        <f t="shared" si="105"/>
        <v>230132</v>
      </c>
      <c r="D4298" s="9" t="str">
        <f>"230908607"</f>
        <v>230908607</v>
      </c>
      <c r="E4298" s="10">
        <v>65.13</v>
      </c>
      <c r="F4298" s="10"/>
      <c r="G4298" s="10">
        <v>73</v>
      </c>
      <c r="H4298" s="10"/>
      <c r="I4298" s="10">
        <v>69.849999999999994</v>
      </c>
    </row>
    <row r="4299" spans="1:9" s="2" customFormat="1" ht="21.75" customHeight="1">
      <c r="A4299" s="8" t="s">
        <v>28</v>
      </c>
      <c r="B4299" s="8" t="s">
        <v>15</v>
      </c>
      <c r="C4299" s="9" t="str">
        <f t="shared" si="105"/>
        <v>230132</v>
      </c>
      <c r="D4299" s="9" t="str">
        <f>"230908801"</f>
        <v>230908801</v>
      </c>
      <c r="E4299" s="10">
        <v>70.319999999999993</v>
      </c>
      <c r="F4299" s="10"/>
      <c r="G4299" s="10">
        <v>69.5</v>
      </c>
      <c r="H4299" s="10"/>
      <c r="I4299" s="10">
        <v>69.83</v>
      </c>
    </row>
    <row r="4300" spans="1:9" s="2" customFormat="1" ht="21.75" customHeight="1">
      <c r="A4300" s="8" t="s">
        <v>28</v>
      </c>
      <c r="B4300" s="8" t="s">
        <v>15</v>
      </c>
      <c r="C4300" s="9" t="str">
        <f t="shared" si="105"/>
        <v>230132</v>
      </c>
      <c r="D4300" s="9" t="str">
        <f>"230908527"</f>
        <v>230908527</v>
      </c>
      <c r="E4300" s="10">
        <v>67.91</v>
      </c>
      <c r="F4300" s="10"/>
      <c r="G4300" s="10">
        <v>71</v>
      </c>
      <c r="H4300" s="10"/>
      <c r="I4300" s="10">
        <v>69.760000000000005</v>
      </c>
    </row>
    <row r="4301" spans="1:9" s="3" customFormat="1" ht="21.75" customHeight="1">
      <c r="A4301" s="8" t="s">
        <v>28</v>
      </c>
      <c r="B4301" s="8" t="s">
        <v>15</v>
      </c>
      <c r="C4301" s="9" t="str">
        <f t="shared" si="105"/>
        <v>230132</v>
      </c>
      <c r="D4301" s="9" t="str">
        <f>"230908702"</f>
        <v>230908702</v>
      </c>
      <c r="E4301" s="10">
        <v>69.73</v>
      </c>
      <c r="F4301" s="10"/>
      <c r="G4301" s="10">
        <v>69.5</v>
      </c>
      <c r="H4301" s="10"/>
      <c r="I4301" s="10">
        <v>69.59</v>
      </c>
    </row>
    <row r="4302" spans="1:9" s="2" customFormat="1" ht="21.75" customHeight="1">
      <c r="A4302" s="8" t="s">
        <v>28</v>
      </c>
      <c r="B4302" s="8" t="s">
        <v>15</v>
      </c>
      <c r="C4302" s="9" t="str">
        <f t="shared" si="105"/>
        <v>230132</v>
      </c>
      <c r="D4302" s="9" t="str">
        <f>"230908907"</f>
        <v>230908907</v>
      </c>
      <c r="E4302" s="10">
        <v>70.319999999999993</v>
      </c>
      <c r="F4302" s="10"/>
      <c r="G4302" s="10">
        <v>69</v>
      </c>
      <c r="H4302" s="10"/>
      <c r="I4302" s="10">
        <v>69.53</v>
      </c>
    </row>
    <row r="4303" spans="1:9" s="2" customFormat="1" ht="21.75" customHeight="1">
      <c r="A4303" s="8" t="s">
        <v>28</v>
      </c>
      <c r="B4303" s="8" t="s">
        <v>15</v>
      </c>
      <c r="C4303" s="9" t="str">
        <f t="shared" si="105"/>
        <v>230132</v>
      </c>
      <c r="D4303" s="9" t="str">
        <f>"230908710"</f>
        <v>230908710</v>
      </c>
      <c r="E4303" s="10">
        <v>68.59</v>
      </c>
      <c r="F4303" s="10"/>
      <c r="G4303" s="10">
        <v>70</v>
      </c>
      <c r="H4303" s="10"/>
      <c r="I4303" s="10">
        <v>69.44</v>
      </c>
    </row>
    <row r="4304" spans="1:9" s="3" customFormat="1" ht="21.75" customHeight="1">
      <c r="A4304" s="8" t="s">
        <v>28</v>
      </c>
      <c r="B4304" s="8" t="s">
        <v>15</v>
      </c>
      <c r="C4304" s="9" t="str">
        <f t="shared" si="105"/>
        <v>230132</v>
      </c>
      <c r="D4304" s="9" t="str">
        <f>"230908730"</f>
        <v>230908730</v>
      </c>
      <c r="E4304" s="10">
        <v>74.59</v>
      </c>
      <c r="F4304" s="10"/>
      <c r="G4304" s="10">
        <v>66</v>
      </c>
      <c r="H4304" s="10"/>
      <c r="I4304" s="10">
        <v>69.44</v>
      </c>
    </row>
    <row r="4305" spans="1:9" s="2" customFormat="1" ht="21.75" customHeight="1">
      <c r="A4305" s="8" t="s">
        <v>28</v>
      </c>
      <c r="B4305" s="8" t="s">
        <v>15</v>
      </c>
      <c r="C4305" s="9" t="str">
        <f t="shared" si="105"/>
        <v>230132</v>
      </c>
      <c r="D4305" s="9" t="str">
        <f>"230908827"</f>
        <v>230908827</v>
      </c>
      <c r="E4305" s="10">
        <v>71.239999999999995</v>
      </c>
      <c r="F4305" s="10"/>
      <c r="G4305" s="10">
        <v>68</v>
      </c>
      <c r="H4305" s="10"/>
      <c r="I4305" s="10">
        <v>69.3</v>
      </c>
    </row>
    <row r="4306" spans="1:9" s="2" customFormat="1" ht="21.75" customHeight="1">
      <c r="A4306" s="8" t="s">
        <v>28</v>
      </c>
      <c r="B4306" s="8" t="s">
        <v>15</v>
      </c>
      <c r="C4306" s="9" t="str">
        <f t="shared" si="105"/>
        <v>230132</v>
      </c>
      <c r="D4306" s="9" t="str">
        <f>"230908711"</f>
        <v>230908711</v>
      </c>
      <c r="E4306" s="10">
        <v>68.81</v>
      </c>
      <c r="F4306" s="10"/>
      <c r="G4306" s="10">
        <v>69</v>
      </c>
      <c r="H4306" s="10"/>
      <c r="I4306" s="10">
        <v>68.92</v>
      </c>
    </row>
    <row r="4307" spans="1:9" s="2" customFormat="1" ht="21.75" customHeight="1">
      <c r="A4307" s="8" t="s">
        <v>28</v>
      </c>
      <c r="B4307" s="8" t="s">
        <v>15</v>
      </c>
      <c r="C4307" s="9" t="str">
        <f t="shared" si="105"/>
        <v>230132</v>
      </c>
      <c r="D4307" s="9" t="str">
        <f>"230908914"</f>
        <v>230908914</v>
      </c>
      <c r="E4307" s="10">
        <v>70.34</v>
      </c>
      <c r="F4307" s="10"/>
      <c r="G4307" s="10">
        <v>67.5</v>
      </c>
      <c r="H4307" s="10"/>
      <c r="I4307" s="10">
        <v>68.64</v>
      </c>
    </row>
    <row r="4308" spans="1:9" s="2" customFormat="1" ht="21.75" customHeight="1">
      <c r="A4308" s="8" t="s">
        <v>28</v>
      </c>
      <c r="B4308" s="8" t="s">
        <v>15</v>
      </c>
      <c r="C4308" s="9" t="str">
        <f t="shared" si="105"/>
        <v>230132</v>
      </c>
      <c r="D4308" s="9" t="str">
        <f>"230908904"</f>
        <v>230908904</v>
      </c>
      <c r="E4308" s="10">
        <v>67.209999999999994</v>
      </c>
      <c r="F4308" s="10"/>
      <c r="G4308" s="10">
        <v>69.5</v>
      </c>
      <c r="H4308" s="10"/>
      <c r="I4308" s="10">
        <v>68.58</v>
      </c>
    </row>
    <row r="4309" spans="1:9" s="2" customFormat="1" ht="21.75" customHeight="1">
      <c r="A4309" s="8" t="s">
        <v>28</v>
      </c>
      <c r="B4309" s="8" t="s">
        <v>15</v>
      </c>
      <c r="C4309" s="9" t="str">
        <f t="shared" si="105"/>
        <v>230132</v>
      </c>
      <c r="D4309" s="9" t="str">
        <f>"230908825"</f>
        <v>230908825</v>
      </c>
      <c r="E4309" s="10">
        <v>62.96</v>
      </c>
      <c r="F4309" s="10"/>
      <c r="G4309" s="10">
        <v>72</v>
      </c>
      <c r="H4309" s="10"/>
      <c r="I4309" s="10">
        <v>68.38</v>
      </c>
    </row>
    <row r="4310" spans="1:9" s="2" customFormat="1" ht="21.75" customHeight="1">
      <c r="A4310" s="8" t="s">
        <v>28</v>
      </c>
      <c r="B4310" s="8" t="s">
        <v>15</v>
      </c>
      <c r="C4310" s="9" t="str">
        <f t="shared" si="105"/>
        <v>230132</v>
      </c>
      <c r="D4310" s="9" t="str">
        <f>"230908528"</f>
        <v>230908528</v>
      </c>
      <c r="E4310" s="10">
        <v>64.22</v>
      </c>
      <c r="F4310" s="10"/>
      <c r="G4310" s="10">
        <v>71</v>
      </c>
      <c r="H4310" s="10"/>
      <c r="I4310" s="10">
        <v>68.290000000000006</v>
      </c>
    </row>
    <row r="4311" spans="1:9" s="2" customFormat="1" ht="21.75" customHeight="1">
      <c r="A4311" s="8" t="s">
        <v>28</v>
      </c>
      <c r="B4311" s="8" t="s">
        <v>15</v>
      </c>
      <c r="C4311" s="9" t="str">
        <f t="shared" si="105"/>
        <v>230132</v>
      </c>
      <c r="D4311" s="9" t="str">
        <f>"230908911"</f>
        <v>230908911</v>
      </c>
      <c r="E4311" s="10">
        <v>65.72</v>
      </c>
      <c r="F4311" s="10"/>
      <c r="G4311" s="10">
        <v>70</v>
      </c>
      <c r="H4311" s="10"/>
      <c r="I4311" s="10">
        <v>68.290000000000006</v>
      </c>
    </row>
    <row r="4312" spans="1:9" s="3" customFormat="1" ht="21.75" customHeight="1">
      <c r="A4312" s="8" t="s">
        <v>28</v>
      </c>
      <c r="B4312" s="8" t="s">
        <v>15</v>
      </c>
      <c r="C4312" s="9" t="str">
        <f t="shared" si="105"/>
        <v>230132</v>
      </c>
      <c r="D4312" s="9" t="str">
        <f>"230908616"</f>
        <v>230908616</v>
      </c>
      <c r="E4312" s="10">
        <v>61.8</v>
      </c>
      <c r="F4312" s="10"/>
      <c r="G4312" s="10">
        <v>72.5</v>
      </c>
      <c r="H4312" s="10"/>
      <c r="I4312" s="10">
        <v>68.22</v>
      </c>
    </row>
    <row r="4313" spans="1:9" s="3" customFormat="1" ht="21.75" customHeight="1">
      <c r="A4313" s="8" t="s">
        <v>28</v>
      </c>
      <c r="B4313" s="8" t="s">
        <v>15</v>
      </c>
      <c r="C4313" s="9" t="str">
        <f t="shared" si="105"/>
        <v>230132</v>
      </c>
      <c r="D4313" s="9" t="str">
        <f>"230908823"</f>
        <v>230908823</v>
      </c>
      <c r="E4313" s="10">
        <v>71.47</v>
      </c>
      <c r="F4313" s="10"/>
      <c r="G4313" s="10">
        <v>66</v>
      </c>
      <c r="H4313" s="10"/>
      <c r="I4313" s="10">
        <v>68.19</v>
      </c>
    </row>
    <row r="4314" spans="1:9" s="3" customFormat="1" ht="21.75" customHeight="1">
      <c r="A4314" s="8" t="s">
        <v>28</v>
      </c>
      <c r="B4314" s="8" t="s">
        <v>15</v>
      </c>
      <c r="C4314" s="9" t="str">
        <f t="shared" si="105"/>
        <v>230132</v>
      </c>
      <c r="D4314" s="9" t="str">
        <f>"230908608"</f>
        <v>230908608</v>
      </c>
      <c r="E4314" s="10">
        <v>65.83</v>
      </c>
      <c r="F4314" s="10"/>
      <c r="G4314" s="10">
        <v>69.5</v>
      </c>
      <c r="H4314" s="10"/>
      <c r="I4314" s="10">
        <v>68.03</v>
      </c>
    </row>
    <row r="4315" spans="1:9" s="2" customFormat="1" ht="21.75" customHeight="1">
      <c r="A4315" s="8" t="s">
        <v>28</v>
      </c>
      <c r="B4315" s="8" t="s">
        <v>15</v>
      </c>
      <c r="C4315" s="9" t="str">
        <f t="shared" si="105"/>
        <v>230132</v>
      </c>
      <c r="D4315" s="9" t="str">
        <f>"230908525"</f>
        <v>230908525</v>
      </c>
      <c r="E4315" s="10">
        <v>69.38</v>
      </c>
      <c r="F4315" s="10"/>
      <c r="G4315" s="10">
        <v>67</v>
      </c>
      <c r="H4315" s="10"/>
      <c r="I4315" s="10">
        <v>67.95</v>
      </c>
    </row>
    <row r="4316" spans="1:9" s="2" customFormat="1" ht="21.75" customHeight="1">
      <c r="A4316" s="8" t="s">
        <v>28</v>
      </c>
      <c r="B4316" s="8" t="s">
        <v>15</v>
      </c>
      <c r="C4316" s="9" t="str">
        <f t="shared" ref="C4316:C4347" si="106">"230132"</f>
        <v>230132</v>
      </c>
      <c r="D4316" s="9" t="str">
        <f>"230909004"</f>
        <v>230909004</v>
      </c>
      <c r="E4316" s="10">
        <v>68.37</v>
      </c>
      <c r="F4316" s="10"/>
      <c r="G4316" s="10">
        <v>66.5</v>
      </c>
      <c r="H4316" s="10"/>
      <c r="I4316" s="10">
        <v>67.25</v>
      </c>
    </row>
    <row r="4317" spans="1:9" s="2" customFormat="1" ht="21.75" customHeight="1">
      <c r="A4317" s="8" t="s">
        <v>28</v>
      </c>
      <c r="B4317" s="8" t="s">
        <v>15</v>
      </c>
      <c r="C4317" s="9" t="str">
        <f t="shared" si="106"/>
        <v>230132</v>
      </c>
      <c r="D4317" s="9" t="str">
        <f>"230908601"</f>
        <v>230908601</v>
      </c>
      <c r="E4317" s="10">
        <v>63.07</v>
      </c>
      <c r="F4317" s="10"/>
      <c r="G4317" s="10">
        <v>68.5</v>
      </c>
      <c r="H4317" s="10"/>
      <c r="I4317" s="10">
        <v>66.33</v>
      </c>
    </row>
    <row r="4318" spans="1:9" s="3" customFormat="1" ht="21.75" customHeight="1">
      <c r="A4318" s="8" t="s">
        <v>28</v>
      </c>
      <c r="B4318" s="8" t="s">
        <v>15</v>
      </c>
      <c r="C4318" s="9" t="str">
        <f t="shared" si="106"/>
        <v>230132</v>
      </c>
      <c r="D4318" s="9" t="str">
        <f>"230908929"</f>
        <v>230908929</v>
      </c>
      <c r="E4318" s="10">
        <v>53.32</v>
      </c>
      <c r="F4318" s="10"/>
      <c r="G4318" s="10">
        <v>74</v>
      </c>
      <c r="H4318" s="10"/>
      <c r="I4318" s="10">
        <v>65.73</v>
      </c>
    </row>
    <row r="4319" spans="1:9" s="2" customFormat="1" ht="21.75" customHeight="1">
      <c r="A4319" s="8" t="s">
        <v>28</v>
      </c>
      <c r="B4319" s="8" t="s">
        <v>15</v>
      </c>
      <c r="C4319" s="9" t="str">
        <f t="shared" si="106"/>
        <v>230132</v>
      </c>
      <c r="D4319" s="9" t="str">
        <f>"230908928"</f>
        <v>230908928</v>
      </c>
      <c r="E4319" s="10">
        <v>54.79</v>
      </c>
      <c r="F4319" s="10"/>
      <c r="G4319" s="10">
        <v>70.5</v>
      </c>
      <c r="H4319" s="10"/>
      <c r="I4319" s="10">
        <v>64.22</v>
      </c>
    </row>
    <row r="4320" spans="1:9" s="2" customFormat="1" ht="21.75" customHeight="1">
      <c r="A4320" s="8" t="s">
        <v>28</v>
      </c>
      <c r="B4320" s="8" t="s">
        <v>15</v>
      </c>
      <c r="C4320" s="9" t="str">
        <f t="shared" si="106"/>
        <v>230132</v>
      </c>
      <c r="D4320" s="9" t="str">
        <f>"230908905"</f>
        <v>230908905</v>
      </c>
      <c r="E4320" s="10">
        <v>59.27</v>
      </c>
      <c r="F4320" s="10"/>
      <c r="G4320" s="10">
        <v>67.5</v>
      </c>
      <c r="H4320" s="10"/>
      <c r="I4320" s="10">
        <v>64.209999999999994</v>
      </c>
    </row>
    <row r="4321" spans="1:9" s="2" customFormat="1" ht="21.75" customHeight="1">
      <c r="A4321" s="8" t="s">
        <v>28</v>
      </c>
      <c r="B4321" s="8" t="s">
        <v>15</v>
      </c>
      <c r="C4321" s="9" t="str">
        <f t="shared" si="106"/>
        <v>230132</v>
      </c>
      <c r="D4321" s="9" t="str">
        <f>"230908815"</f>
        <v>230908815</v>
      </c>
      <c r="E4321" s="10">
        <v>53.86</v>
      </c>
      <c r="F4321" s="10"/>
      <c r="G4321" s="10">
        <v>70.5</v>
      </c>
      <c r="H4321" s="10"/>
      <c r="I4321" s="10">
        <v>63.84</v>
      </c>
    </row>
    <row r="4322" spans="1:9" s="2" customFormat="1" ht="21.75" customHeight="1">
      <c r="A4322" s="8" t="s">
        <v>28</v>
      </c>
      <c r="B4322" s="8" t="s">
        <v>15</v>
      </c>
      <c r="C4322" s="9" t="str">
        <f t="shared" si="106"/>
        <v>230132</v>
      </c>
      <c r="D4322" s="9" t="str">
        <f>"230908717"</f>
        <v>230908717</v>
      </c>
      <c r="E4322" s="10">
        <v>50.2</v>
      </c>
      <c r="F4322" s="10"/>
      <c r="G4322" s="10">
        <v>70.5</v>
      </c>
      <c r="H4322" s="10"/>
      <c r="I4322" s="10">
        <v>62.38</v>
      </c>
    </row>
    <row r="4323" spans="1:9" s="2" customFormat="1" ht="21.75" customHeight="1">
      <c r="A4323" s="8" t="s">
        <v>28</v>
      </c>
      <c r="B4323" s="8" t="s">
        <v>15</v>
      </c>
      <c r="C4323" s="9" t="str">
        <f t="shared" si="106"/>
        <v>230132</v>
      </c>
      <c r="D4323" s="9" t="str">
        <f>"230908725"</f>
        <v>230908725</v>
      </c>
      <c r="E4323" s="10">
        <v>60.34</v>
      </c>
      <c r="F4323" s="10"/>
      <c r="G4323" s="10">
        <v>63.5</v>
      </c>
      <c r="H4323" s="10"/>
      <c r="I4323" s="10">
        <v>62.24</v>
      </c>
    </row>
    <row r="4324" spans="1:9" s="2" customFormat="1" ht="21.75" customHeight="1">
      <c r="A4324" s="8" t="s">
        <v>28</v>
      </c>
      <c r="B4324" s="8" t="s">
        <v>15</v>
      </c>
      <c r="C4324" s="9" t="str">
        <f t="shared" si="106"/>
        <v>230132</v>
      </c>
      <c r="D4324" s="9" t="str">
        <f>"230908626"</f>
        <v>230908626</v>
      </c>
      <c r="E4324" s="10">
        <v>43.89</v>
      </c>
      <c r="F4324" s="10"/>
      <c r="G4324" s="10">
        <v>72.5</v>
      </c>
      <c r="H4324" s="10"/>
      <c r="I4324" s="10">
        <v>61.06</v>
      </c>
    </row>
    <row r="4325" spans="1:9" s="2" customFormat="1" ht="21.75" customHeight="1">
      <c r="A4325" s="8" t="s">
        <v>28</v>
      </c>
      <c r="B4325" s="8" t="s">
        <v>15</v>
      </c>
      <c r="C4325" s="9" t="str">
        <f t="shared" si="106"/>
        <v>230132</v>
      </c>
      <c r="D4325" s="9" t="str">
        <f>"230908610"</f>
        <v>230908610</v>
      </c>
      <c r="E4325" s="10">
        <v>50.54</v>
      </c>
      <c r="F4325" s="10"/>
      <c r="G4325" s="10">
        <v>68</v>
      </c>
      <c r="H4325" s="10"/>
      <c r="I4325" s="10">
        <v>61.02</v>
      </c>
    </row>
    <row r="4326" spans="1:9" s="2" customFormat="1" ht="21.75" customHeight="1">
      <c r="A4326" s="8" t="s">
        <v>28</v>
      </c>
      <c r="B4326" s="8" t="s">
        <v>15</v>
      </c>
      <c r="C4326" s="9" t="str">
        <f t="shared" si="106"/>
        <v>230132</v>
      </c>
      <c r="D4326" s="9" t="str">
        <f>"230908617"</f>
        <v>230908617</v>
      </c>
      <c r="E4326" s="10">
        <v>41.94</v>
      </c>
      <c r="F4326" s="10"/>
      <c r="G4326" s="10">
        <v>70</v>
      </c>
      <c r="H4326" s="10"/>
      <c r="I4326" s="10">
        <v>58.78</v>
      </c>
    </row>
    <row r="4327" spans="1:9" s="2" customFormat="1" ht="21.75" customHeight="1">
      <c r="A4327" s="8" t="s">
        <v>28</v>
      </c>
      <c r="B4327" s="8" t="s">
        <v>15</v>
      </c>
      <c r="C4327" s="9" t="str">
        <f t="shared" si="106"/>
        <v>230132</v>
      </c>
      <c r="D4327" s="9" t="str">
        <f>"230908609"</f>
        <v>230908609</v>
      </c>
      <c r="E4327" s="10">
        <v>47.06</v>
      </c>
      <c r="F4327" s="10"/>
      <c r="G4327" s="10">
        <v>33</v>
      </c>
      <c r="H4327" s="10"/>
      <c r="I4327" s="10">
        <v>38.619999999999997</v>
      </c>
    </row>
    <row r="4328" spans="1:9" s="2" customFormat="1" ht="21.75" customHeight="1">
      <c r="A4328" s="8" t="s">
        <v>28</v>
      </c>
      <c r="B4328" s="8" t="s">
        <v>15</v>
      </c>
      <c r="C4328" s="9" t="str">
        <f t="shared" si="106"/>
        <v>230132</v>
      </c>
      <c r="D4328" s="9" t="str">
        <f>"230908614"</f>
        <v>230908614</v>
      </c>
      <c r="E4328" s="10">
        <v>0</v>
      </c>
      <c r="F4328" s="10"/>
      <c r="G4328" s="10">
        <v>0</v>
      </c>
      <c r="H4328" s="10"/>
      <c r="I4328" s="10">
        <v>0</v>
      </c>
    </row>
    <row r="4329" spans="1:9" s="2" customFormat="1" ht="21.75" customHeight="1">
      <c r="A4329" s="8" t="s">
        <v>28</v>
      </c>
      <c r="B4329" s="8" t="s">
        <v>15</v>
      </c>
      <c r="C4329" s="9" t="str">
        <f t="shared" si="106"/>
        <v>230132</v>
      </c>
      <c r="D4329" s="9" t="str">
        <f>"230908624"</f>
        <v>230908624</v>
      </c>
      <c r="E4329" s="10">
        <v>0</v>
      </c>
      <c r="F4329" s="10"/>
      <c r="G4329" s="10">
        <v>0</v>
      </c>
      <c r="H4329" s="10"/>
      <c r="I4329" s="10">
        <v>0</v>
      </c>
    </row>
    <row r="4330" spans="1:9" s="2" customFormat="1" ht="21.75" customHeight="1">
      <c r="A4330" s="8" t="s">
        <v>28</v>
      </c>
      <c r="B4330" s="8" t="s">
        <v>15</v>
      </c>
      <c r="C4330" s="9" t="str">
        <f t="shared" si="106"/>
        <v>230132</v>
      </c>
      <c r="D4330" s="9" t="str">
        <f>"230908627"</f>
        <v>230908627</v>
      </c>
      <c r="E4330" s="10">
        <v>0</v>
      </c>
      <c r="F4330" s="10"/>
      <c r="G4330" s="10">
        <v>0</v>
      </c>
      <c r="H4330" s="10"/>
      <c r="I4330" s="10">
        <v>0</v>
      </c>
    </row>
    <row r="4331" spans="1:9" s="2" customFormat="1" ht="21.75" customHeight="1">
      <c r="A4331" s="8" t="s">
        <v>28</v>
      </c>
      <c r="B4331" s="8" t="s">
        <v>15</v>
      </c>
      <c r="C4331" s="9" t="str">
        <f t="shared" si="106"/>
        <v>230132</v>
      </c>
      <c r="D4331" s="9" t="str">
        <f>"230908705"</f>
        <v>230908705</v>
      </c>
      <c r="E4331" s="10">
        <v>0</v>
      </c>
      <c r="F4331" s="10"/>
      <c r="G4331" s="10">
        <v>0</v>
      </c>
      <c r="H4331" s="10"/>
      <c r="I4331" s="10">
        <v>0</v>
      </c>
    </row>
    <row r="4332" spans="1:9" s="2" customFormat="1" ht="21.75" customHeight="1">
      <c r="A4332" s="8" t="s">
        <v>28</v>
      </c>
      <c r="B4332" s="8" t="s">
        <v>15</v>
      </c>
      <c r="C4332" s="9" t="str">
        <f t="shared" si="106"/>
        <v>230132</v>
      </c>
      <c r="D4332" s="9" t="str">
        <f>"230908706"</f>
        <v>230908706</v>
      </c>
      <c r="E4332" s="10">
        <v>0</v>
      </c>
      <c r="F4332" s="10"/>
      <c r="G4332" s="10">
        <v>0</v>
      </c>
      <c r="H4332" s="10"/>
      <c r="I4332" s="10">
        <v>0</v>
      </c>
    </row>
    <row r="4333" spans="1:9" s="3" customFormat="1" ht="21.75" customHeight="1">
      <c r="A4333" s="8" t="s">
        <v>28</v>
      </c>
      <c r="B4333" s="8" t="s">
        <v>15</v>
      </c>
      <c r="C4333" s="9" t="str">
        <f t="shared" si="106"/>
        <v>230132</v>
      </c>
      <c r="D4333" s="9" t="str">
        <f>"230908709"</f>
        <v>230908709</v>
      </c>
      <c r="E4333" s="10">
        <v>0</v>
      </c>
      <c r="F4333" s="10"/>
      <c r="G4333" s="10">
        <v>0</v>
      </c>
      <c r="H4333" s="10"/>
      <c r="I4333" s="10">
        <v>0</v>
      </c>
    </row>
    <row r="4334" spans="1:9" s="2" customFormat="1" ht="21.75" customHeight="1">
      <c r="A4334" s="8" t="s">
        <v>28</v>
      </c>
      <c r="B4334" s="8" t="s">
        <v>15</v>
      </c>
      <c r="C4334" s="9" t="str">
        <f t="shared" si="106"/>
        <v>230132</v>
      </c>
      <c r="D4334" s="9" t="str">
        <f>"230908716"</f>
        <v>230908716</v>
      </c>
      <c r="E4334" s="10">
        <v>0</v>
      </c>
      <c r="F4334" s="10"/>
      <c r="G4334" s="10">
        <v>0</v>
      </c>
      <c r="H4334" s="10"/>
      <c r="I4334" s="10">
        <v>0</v>
      </c>
    </row>
    <row r="4335" spans="1:9" s="2" customFormat="1" ht="21.75" customHeight="1">
      <c r="A4335" s="8" t="s">
        <v>28</v>
      </c>
      <c r="B4335" s="8" t="s">
        <v>15</v>
      </c>
      <c r="C4335" s="9" t="str">
        <f t="shared" si="106"/>
        <v>230132</v>
      </c>
      <c r="D4335" s="9" t="str">
        <f>"230908718"</f>
        <v>230908718</v>
      </c>
      <c r="E4335" s="10">
        <v>0</v>
      </c>
      <c r="F4335" s="10"/>
      <c r="G4335" s="10">
        <v>0</v>
      </c>
      <c r="H4335" s="10"/>
      <c r="I4335" s="10">
        <v>0</v>
      </c>
    </row>
    <row r="4336" spans="1:9" s="2" customFormat="1" ht="21.75" customHeight="1">
      <c r="A4336" s="8" t="s">
        <v>28</v>
      </c>
      <c r="B4336" s="8" t="s">
        <v>15</v>
      </c>
      <c r="C4336" s="9" t="str">
        <f t="shared" si="106"/>
        <v>230132</v>
      </c>
      <c r="D4336" s="9" t="str">
        <f>"230908721"</f>
        <v>230908721</v>
      </c>
      <c r="E4336" s="10">
        <v>0</v>
      </c>
      <c r="F4336" s="10"/>
      <c r="G4336" s="10">
        <v>0</v>
      </c>
      <c r="H4336" s="10"/>
      <c r="I4336" s="10">
        <v>0</v>
      </c>
    </row>
    <row r="4337" spans="1:9" s="2" customFormat="1" ht="21.75" customHeight="1">
      <c r="A4337" s="8" t="s">
        <v>28</v>
      </c>
      <c r="B4337" s="8" t="s">
        <v>15</v>
      </c>
      <c r="C4337" s="9" t="str">
        <f t="shared" si="106"/>
        <v>230132</v>
      </c>
      <c r="D4337" s="9" t="str">
        <f>"230908727"</f>
        <v>230908727</v>
      </c>
      <c r="E4337" s="10">
        <v>0</v>
      </c>
      <c r="F4337" s="10"/>
      <c r="G4337" s="10">
        <v>0</v>
      </c>
      <c r="H4337" s="10"/>
      <c r="I4337" s="10">
        <v>0</v>
      </c>
    </row>
    <row r="4338" spans="1:9" s="2" customFormat="1" ht="21.75" customHeight="1">
      <c r="A4338" s="8" t="s">
        <v>28</v>
      </c>
      <c r="B4338" s="8" t="s">
        <v>15</v>
      </c>
      <c r="C4338" s="9" t="str">
        <f t="shared" si="106"/>
        <v>230132</v>
      </c>
      <c r="D4338" s="9" t="str">
        <f>"230908728"</f>
        <v>230908728</v>
      </c>
      <c r="E4338" s="10">
        <v>0</v>
      </c>
      <c r="F4338" s="10"/>
      <c r="G4338" s="10">
        <v>0</v>
      </c>
      <c r="H4338" s="10"/>
      <c r="I4338" s="10">
        <v>0</v>
      </c>
    </row>
    <row r="4339" spans="1:9" s="2" customFormat="1" ht="21.75" customHeight="1">
      <c r="A4339" s="8" t="s">
        <v>28</v>
      </c>
      <c r="B4339" s="8" t="s">
        <v>15</v>
      </c>
      <c r="C4339" s="9" t="str">
        <f t="shared" si="106"/>
        <v>230132</v>
      </c>
      <c r="D4339" s="9" t="str">
        <f>"230908803"</f>
        <v>230908803</v>
      </c>
      <c r="E4339" s="10">
        <v>0</v>
      </c>
      <c r="F4339" s="10"/>
      <c r="G4339" s="10">
        <v>0</v>
      </c>
      <c r="H4339" s="10"/>
      <c r="I4339" s="10">
        <v>0</v>
      </c>
    </row>
    <row r="4340" spans="1:9" s="2" customFormat="1" ht="21.75" customHeight="1">
      <c r="A4340" s="8" t="s">
        <v>28</v>
      </c>
      <c r="B4340" s="8" t="s">
        <v>15</v>
      </c>
      <c r="C4340" s="9" t="str">
        <f t="shared" si="106"/>
        <v>230132</v>
      </c>
      <c r="D4340" s="9" t="str">
        <f>"230908807"</f>
        <v>230908807</v>
      </c>
      <c r="E4340" s="10">
        <v>0</v>
      </c>
      <c r="F4340" s="10"/>
      <c r="G4340" s="10">
        <v>0</v>
      </c>
      <c r="H4340" s="10"/>
      <c r="I4340" s="10">
        <v>0</v>
      </c>
    </row>
    <row r="4341" spans="1:9" s="2" customFormat="1" ht="21.75" customHeight="1">
      <c r="A4341" s="8" t="s">
        <v>28</v>
      </c>
      <c r="B4341" s="8" t="s">
        <v>15</v>
      </c>
      <c r="C4341" s="9" t="str">
        <f t="shared" si="106"/>
        <v>230132</v>
      </c>
      <c r="D4341" s="9" t="str">
        <f>"230908811"</f>
        <v>230908811</v>
      </c>
      <c r="E4341" s="10">
        <v>0</v>
      </c>
      <c r="F4341" s="10"/>
      <c r="G4341" s="10">
        <v>0</v>
      </c>
      <c r="H4341" s="10"/>
      <c r="I4341" s="10">
        <v>0</v>
      </c>
    </row>
    <row r="4342" spans="1:9" s="3" customFormat="1" ht="21.75" customHeight="1">
      <c r="A4342" s="8" t="s">
        <v>28</v>
      </c>
      <c r="B4342" s="8" t="s">
        <v>15</v>
      </c>
      <c r="C4342" s="9" t="str">
        <f t="shared" si="106"/>
        <v>230132</v>
      </c>
      <c r="D4342" s="9" t="str">
        <f>"230908816"</f>
        <v>230908816</v>
      </c>
      <c r="E4342" s="10">
        <v>0</v>
      </c>
      <c r="F4342" s="10"/>
      <c r="G4342" s="10">
        <v>0</v>
      </c>
      <c r="H4342" s="10"/>
      <c r="I4342" s="10">
        <v>0</v>
      </c>
    </row>
    <row r="4343" spans="1:9" s="2" customFormat="1" ht="21.75" customHeight="1">
      <c r="A4343" s="8" t="s">
        <v>28</v>
      </c>
      <c r="B4343" s="8" t="s">
        <v>15</v>
      </c>
      <c r="C4343" s="9" t="str">
        <f t="shared" si="106"/>
        <v>230132</v>
      </c>
      <c r="D4343" s="9" t="str">
        <f>"230908817"</f>
        <v>230908817</v>
      </c>
      <c r="E4343" s="10">
        <v>0</v>
      </c>
      <c r="F4343" s="10"/>
      <c r="G4343" s="10">
        <v>0</v>
      </c>
      <c r="H4343" s="10"/>
      <c r="I4343" s="10">
        <v>0</v>
      </c>
    </row>
    <row r="4344" spans="1:9" s="2" customFormat="1" ht="21.75" customHeight="1">
      <c r="A4344" s="8" t="s">
        <v>28</v>
      </c>
      <c r="B4344" s="8" t="s">
        <v>15</v>
      </c>
      <c r="C4344" s="9" t="str">
        <f t="shared" si="106"/>
        <v>230132</v>
      </c>
      <c r="D4344" s="9" t="str">
        <f>"230908818"</f>
        <v>230908818</v>
      </c>
      <c r="E4344" s="10">
        <v>0</v>
      </c>
      <c r="F4344" s="10"/>
      <c r="G4344" s="10">
        <v>0</v>
      </c>
      <c r="H4344" s="10"/>
      <c r="I4344" s="10">
        <v>0</v>
      </c>
    </row>
    <row r="4345" spans="1:9" s="2" customFormat="1" ht="21.75" customHeight="1">
      <c r="A4345" s="8" t="s">
        <v>28</v>
      </c>
      <c r="B4345" s="8" t="s">
        <v>15</v>
      </c>
      <c r="C4345" s="9" t="str">
        <f t="shared" si="106"/>
        <v>230132</v>
      </c>
      <c r="D4345" s="9" t="str">
        <f>"230908820"</f>
        <v>230908820</v>
      </c>
      <c r="E4345" s="10">
        <v>0</v>
      </c>
      <c r="F4345" s="10"/>
      <c r="G4345" s="10">
        <v>0</v>
      </c>
      <c r="H4345" s="10"/>
      <c r="I4345" s="10">
        <v>0</v>
      </c>
    </row>
    <row r="4346" spans="1:9" s="3" customFormat="1" ht="21.75" customHeight="1">
      <c r="A4346" s="8" t="s">
        <v>28</v>
      </c>
      <c r="B4346" s="8" t="s">
        <v>15</v>
      </c>
      <c r="C4346" s="9" t="str">
        <f t="shared" si="106"/>
        <v>230132</v>
      </c>
      <c r="D4346" s="9" t="str">
        <f>"230908824"</f>
        <v>230908824</v>
      </c>
      <c r="E4346" s="10">
        <v>0</v>
      </c>
      <c r="F4346" s="10"/>
      <c r="G4346" s="10">
        <v>0</v>
      </c>
      <c r="H4346" s="10"/>
      <c r="I4346" s="10">
        <v>0</v>
      </c>
    </row>
    <row r="4347" spans="1:9" s="2" customFormat="1" ht="21.75" customHeight="1">
      <c r="A4347" s="8" t="s">
        <v>28</v>
      </c>
      <c r="B4347" s="8" t="s">
        <v>15</v>
      </c>
      <c r="C4347" s="9" t="str">
        <f t="shared" si="106"/>
        <v>230132</v>
      </c>
      <c r="D4347" s="9" t="str">
        <f>"230908826"</f>
        <v>230908826</v>
      </c>
      <c r="E4347" s="10">
        <v>0</v>
      </c>
      <c r="F4347" s="10"/>
      <c r="G4347" s="10">
        <v>0</v>
      </c>
      <c r="H4347" s="10"/>
      <c r="I4347" s="10">
        <v>0</v>
      </c>
    </row>
    <row r="4348" spans="1:9" s="3" customFormat="1" ht="21.75" customHeight="1">
      <c r="A4348" s="8" t="s">
        <v>28</v>
      </c>
      <c r="B4348" s="8" t="s">
        <v>15</v>
      </c>
      <c r="C4348" s="9" t="str">
        <f t="shared" ref="C4348:C4357" si="107">"230132"</f>
        <v>230132</v>
      </c>
      <c r="D4348" s="9" t="str">
        <f>"230908902"</f>
        <v>230908902</v>
      </c>
      <c r="E4348" s="10">
        <v>0</v>
      </c>
      <c r="F4348" s="10"/>
      <c r="G4348" s="10">
        <v>0</v>
      </c>
      <c r="H4348" s="10"/>
      <c r="I4348" s="10">
        <v>0</v>
      </c>
    </row>
    <row r="4349" spans="1:9" s="2" customFormat="1" ht="21.75" customHeight="1">
      <c r="A4349" s="8" t="s">
        <v>28</v>
      </c>
      <c r="B4349" s="8" t="s">
        <v>15</v>
      </c>
      <c r="C4349" s="9" t="str">
        <f t="shared" si="107"/>
        <v>230132</v>
      </c>
      <c r="D4349" s="9" t="str">
        <f>"230908903"</f>
        <v>230908903</v>
      </c>
      <c r="E4349" s="10">
        <v>0</v>
      </c>
      <c r="F4349" s="10"/>
      <c r="G4349" s="10">
        <v>0</v>
      </c>
      <c r="H4349" s="10"/>
      <c r="I4349" s="10">
        <v>0</v>
      </c>
    </row>
    <row r="4350" spans="1:9" s="2" customFormat="1" ht="21.75" customHeight="1">
      <c r="A4350" s="8" t="s">
        <v>28</v>
      </c>
      <c r="B4350" s="8" t="s">
        <v>15</v>
      </c>
      <c r="C4350" s="9" t="str">
        <f t="shared" si="107"/>
        <v>230132</v>
      </c>
      <c r="D4350" s="9" t="str">
        <f>"230908910"</f>
        <v>230908910</v>
      </c>
      <c r="E4350" s="10">
        <v>0</v>
      </c>
      <c r="F4350" s="10"/>
      <c r="G4350" s="10">
        <v>0</v>
      </c>
      <c r="H4350" s="10"/>
      <c r="I4350" s="10">
        <v>0</v>
      </c>
    </row>
    <row r="4351" spans="1:9" s="2" customFormat="1" ht="21.75" customHeight="1">
      <c r="A4351" s="8" t="s">
        <v>28</v>
      </c>
      <c r="B4351" s="8" t="s">
        <v>15</v>
      </c>
      <c r="C4351" s="9" t="str">
        <f t="shared" si="107"/>
        <v>230132</v>
      </c>
      <c r="D4351" s="9" t="str">
        <f>"230908912"</f>
        <v>230908912</v>
      </c>
      <c r="E4351" s="10">
        <v>0</v>
      </c>
      <c r="F4351" s="10"/>
      <c r="G4351" s="10">
        <v>0</v>
      </c>
      <c r="H4351" s="10"/>
      <c r="I4351" s="10">
        <v>0</v>
      </c>
    </row>
    <row r="4352" spans="1:9" s="2" customFormat="1" ht="21.75" customHeight="1">
      <c r="A4352" s="8" t="s">
        <v>28</v>
      </c>
      <c r="B4352" s="8" t="s">
        <v>15</v>
      </c>
      <c r="C4352" s="9" t="str">
        <f t="shared" si="107"/>
        <v>230132</v>
      </c>
      <c r="D4352" s="9" t="str">
        <f>"230908915"</f>
        <v>230908915</v>
      </c>
      <c r="E4352" s="10">
        <v>0</v>
      </c>
      <c r="F4352" s="10"/>
      <c r="G4352" s="10">
        <v>0</v>
      </c>
      <c r="H4352" s="10"/>
      <c r="I4352" s="10">
        <v>0</v>
      </c>
    </row>
    <row r="4353" spans="1:9" s="2" customFormat="1" ht="21.75" customHeight="1">
      <c r="A4353" s="8" t="s">
        <v>28</v>
      </c>
      <c r="B4353" s="8" t="s">
        <v>15</v>
      </c>
      <c r="C4353" s="9" t="str">
        <f t="shared" si="107"/>
        <v>230132</v>
      </c>
      <c r="D4353" s="9" t="str">
        <f>"230908920"</f>
        <v>230908920</v>
      </c>
      <c r="E4353" s="10">
        <v>0</v>
      </c>
      <c r="F4353" s="10"/>
      <c r="G4353" s="10">
        <v>0</v>
      </c>
      <c r="H4353" s="10"/>
      <c r="I4353" s="10">
        <v>0</v>
      </c>
    </row>
    <row r="4354" spans="1:9" s="2" customFormat="1" ht="21.75" customHeight="1">
      <c r="A4354" s="8" t="s">
        <v>28</v>
      </c>
      <c r="B4354" s="8" t="s">
        <v>15</v>
      </c>
      <c r="C4354" s="9" t="str">
        <f t="shared" si="107"/>
        <v>230132</v>
      </c>
      <c r="D4354" s="9" t="str">
        <f>"230909002"</f>
        <v>230909002</v>
      </c>
      <c r="E4354" s="10">
        <v>0</v>
      </c>
      <c r="F4354" s="10"/>
      <c r="G4354" s="10">
        <v>0</v>
      </c>
      <c r="H4354" s="10"/>
      <c r="I4354" s="10">
        <v>0</v>
      </c>
    </row>
    <row r="4355" spans="1:9" s="2" customFormat="1" ht="21.75" customHeight="1">
      <c r="A4355" s="8" t="s">
        <v>28</v>
      </c>
      <c r="B4355" s="8" t="s">
        <v>15</v>
      </c>
      <c r="C4355" s="9" t="str">
        <f t="shared" si="107"/>
        <v>230132</v>
      </c>
      <c r="D4355" s="9" t="str">
        <f>"230909003"</f>
        <v>230909003</v>
      </c>
      <c r="E4355" s="10">
        <v>0</v>
      </c>
      <c r="F4355" s="10"/>
      <c r="G4355" s="10">
        <v>0</v>
      </c>
      <c r="H4355" s="10"/>
      <c r="I4355" s="10">
        <v>0</v>
      </c>
    </row>
    <row r="4356" spans="1:9" s="2" customFormat="1" ht="21.75" customHeight="1">
      <c r="A4356" s="8" t="s">
        <v>28</v>
      </c>
      <c r="B4356" s="8" t="s">
        <v>15</v>
      </c>
      <c r="C4356" s="9" t="str">
        <f t="shared" si="107"/>
        <v>230132</v>
      </c>
      <c r="D4356" s="9" t="str">
        <f>"230909007"</f>
        <v>230909007</v>
      </c>
      <c r="E4356" s="10">
        <v>0</v>
      </c>
      <c r="F4356" s="10"/>
      <c r="G4356" s="10">
        <v>0</v>
      </c>
      <c r="H4356" s="10"/>
      <c r="I4356" s="10">
        <v>0</v>
      </c>
    </row>
    <row r="4357" spans="1:9" s="3" customFormat="1" ht="21.75" customHeight="1">
      <c r="A4357" s="8" t="s">
        <v>28</v>
      </c>
      <c r="B4357" s="8" t="s">
        <v>15</v>
      </c>
      <c r="C4357" s="9" t="str">
        <f t="shared" si="107"/>
        <v>230132</v>
      </c>
      <c r="D4357" s="9" t="str">
        <f>"230909009"</f>
        <v>230909009</v>
      </c>
      <c r="E4357" s="10">
        <v>0</v>
      </c>
      <c r="F4357" s="10"/>
      <c r="G4357" s="10">
        <v>0</v>
      </c>
      <c r="H4357" s="10"/>
      <c r="I4357" s="10">
        <v>0</v>
      </c>
    </row>
    <row r="4358" spans="1:9" s="1" customFormat="1" ht="21.75" customHeight="1">
      <c r="A4358" s="8" t="s">
        <v>28</v>
      </c>
      <c r="B4358" s="8" t="s">
        <v>16</v>
      </c>
      <c r="C4358" s="9" t="str">
        <f t="shared" ref="C4358:C4421" si="108">"230133"</f>
        <v>230133</v>
      </c>
      <c r="D4358" s="9" t="str">
        <f>"230909514"</f>
        <v>230909514</v>
      </c>
      <c r="E4358" s="10">
        <v>81.13</v>
      </c>
      <c r="F4358" s="10"/>
      <c r="G4358" s="10">
        <v>80</v>
      </c>
      <c r="H4358" s="10"/>
      <c r="I4358" s="10">
        <v>80.45</v>
      </c>
    </row>
    <row r="4359" spans="1:9" ht="21.75" customHeight="1">
      <c r="A4359" s="8" t="s">
        <v>28</v>
      </c>
      <c r="B4359" s="8" t="s">
        <v>16</v>
      </c>
      <c r="C4359" s="9" t="str">
        <f t="shared" si="108"/>
        <v>230133</v>
      </c>
      <c r="D4359" s="9" t="str">
        <f>"230909311"</f>
        <v>230909311</v>
      </c>
      <c r="E4359" s="10">
        <v>83.11</v>
      </c>
      <c r="F4359" s="10"/>
      <c r="G4359" s="10">
        <v>78</v>
      </c>
      <c r="H4359" s="10"/>
      <c r="I4359" s="10">
        <v>80.040000000000006</v>
      </c>
    </row>
    <row r="4360" spans="1:9" ht="21.75" customHeight="1">
      <c r="A4360" s="8" t="s">
        <v>28</v>
      </c>
      <c r="B4360" s="8" t="s">
        <v>16</v>
      </c>
      <c r="C4360" s="9" t="str">
        <f t="shared" si="108"/>
        <v>230133</v>
      </c>
      <c r="D4360" s="9" t="str">
        <f>"230909424"</f>
        <v>230909424</v>
      </c>
      <c r="E4360" s="10">
        <v>76.97</v>
      </c>
      <c r="F4360" s="10"/>
      <c r="G4360" s="10">
        <v>81.5</v>
      </c>
      <c r="H4360" s="10"/>
      <c r="I4360" s="10">
        <v>79.69</v>
      </c>
    </row>
    <row r="4361" spans="1:9" ht="21.75" customHeight="1">
      <c r="A4361" s="8" t="s">
        <v>28</v>
      </c>
      <c r="B4361" s="8" t="s">
        <v>16</v>
      </c>
      <c r="C4361" s="9" t="str">
        <f t="shared" si="108"/>
        <v>230133</v>
      </c>
      <c r="D4361" s="9" t="str">
        <f>"230909028"</f>
        <v>230909028</v>
      </c>
      <c r="E4361" s="10">
        <v>82.29</v>
      </c>
      <c r="F4361" s="10"/>
      <c r="G4361" s="10">
        <v>76.5</v>
      </c>
      <c r="H4361" s="10"/>
      <c r="I4361" s="10">
        <v>78.819999999999993</v>
      </c>
    </row>
    <row r="4362" spans="1:9" ht="21.75" customHeight="1">
      <c r="A4362" s="8" t="s">
        <v>28</v>
      </c>
      <c r="B4362" s="8" t="s">
        <v>16</v>
      </c>
      <c r="C4362" s="9" t="str">
        <f t="shared" si="108"/>
        <v>230133</v>
      </c>
      <c r="D4362" s="9" t="str">
        <f>"230909711"</f>
        <v>230909711</v>
      </c>
      <c r="E4362" s="10">
        <v>76.3</v>
      </c>
      <c r="F4362" s="10"/>
      <c r="G4362" s="10">
        <v>80.5</v>
      </c>
      <c r="H4362" s="10"/>
      <c r="I4362" s="10">
        <v>78.819999999999993</v>
      </c>
    </row>
    <row r="4363" spans="1:9" s="1" customFormat="1" ht="21.75" customHeight="1">
      <c r="A4363" s="8" t="s">
        <v>28</v>
      </c>
      <c r="B4363" s="8" t="s">
        <v>16</v>
      </c>
      <c r="C4363" s="9" t="str">
        <f t="shared" si="108"/>
        <v>230133</v>
      </c>
      <c r="D4363" s="9" t="str">
        <f>"230909728"</f>
        <v>230909728</v>
      </c>
      <c r="E4363" s="10">
        <v>80.900000000000006</v>
      </c>
      <c r="F4363" s="10"/>
      <c r="G4363" s="10">
        <v>76</v>
      </c>
      <c r="H4363" s="10"/>
      <c r="I4363" s="10">
        <v>77.959999999999994</v>
      </c>
    </row>
    <row r="4364" spans="1:9" s="1" customFormat="1" ht="21.75" customHeight="1">
      <c r="A4364" s="8" t="s">
        <v>28</v>
      </c>
      <c r="B4364" s="8" t="s">
        <v>16</v>
      </c>
      <c r="C4364" s="9" t="str">
        <f t="shared" si="108"/>
        <v>230133</v>
      </c>
      <c r="D4364" s="9" t="str">
        <f>"230909618"</f>
        <v>230909618</v>
      </c>
      <c r="E4364" s="10">
        <v>82.52</v>
      </c>
      <c r="F4364" s="10"/>
      <c r="G4364" s="10">
        <v>74</v>
      </c>
      <c r="H4364" s="10"/>
      <c r="I4364" s="10">
        <v>77.41</v>
      </c>
    </row>
    <row r="4365" spans="1:9" s="1" customFormat="1" ht="21.75" customHeight="1">
      <c r="A4365" s="8" t="s">
        <v>28</v>
      </c>
      <c r="B4365" s="8" t="s">
        <v>16</v>
      </c>
      <c r="C4365" s="9" t="str">
        <f t="shared" si="108"/>
        <v>230133</v>
      </c>
      <c r="D4365" s="9" t="str">
        <f>"230909330"</f>
        <v>230909330</v>
      </c>
      <c r="E4365" s="10">
        <v>79.739999999999995</v>
      </c>
      <c r="F4365" s="10"/>
      <c r="G4365" s="10">
        <v>75.5</v>
      </c>
      <c r="H4365" s="10"/>
      <c r="I4365" s="10">
        <v>77.2</v>
      </c>
    </row>
    <row r="4366" spans="1:9" ht="21.75" customHeight="1">
      <c r="A4366" s="8" t="s">
        <v>28</v>
      </c>
      <c r="B4366" s="8" t="s">
        <v>16</v>
      </c>
      <c r="C4366" s="9" t="str">
        <f t="shared" si="108"/>
        <v>230133</v>
      </c>
      <c r="D4366" s="9" t="str">
        <f>"230909519"</f>
        <v>230909519</v>
      </c>
      <c r="E4366" s="10">
        <v>81.59</v>
      </c>
      <c r="F4366" s="10"/>
      <c r="G4366" s="10">
        <v>74</v>
      </c>
      <c r="H4366" s="10"/>
      <c r="I4366" s="10">
        <v>77.040000000000006</v>
      </c>
    </row>
    <row r="4367" spans="1:9" s="1" customFormat="1" ht="21.75" customHeight="1">
      <c r="A4367" s="8" t="s">
        <v>28</v>
      </c>
      <c r="B4367" s="8" t="s">
        <v>16</v>
      </c>
      <c r="C4367" s="9" t="str">
        <f t="shared" si="108"/>
        <v>230133</v>
      </c>
      <c r="D4367" s="9" t="str">
        <f>"230909020"</f>
        <v>230909020</v>
      </c>
      <c r="E4367" s="10">
        <v>75.489999999999995</v>
      </c>
      <c r="F4367" s="10"/>
      <c r="G4367" s="10">
        <v>78</v>
      </c>
      <c r="H4367" s="10"/>
      <c r="I4367" s="10">
        <v>77</v>
      </c>
    </row>
    <row r="4368" spans="1:9" ht="21.75" customHeight="1">
      <c r="A4368" s="8" t="s">
        <v>28</v>
      </c>
      <c r="B4368" s="8" t="s">
        <v>16</v>
      </c>
      <c r="C4368" s="9" t="str">
        <f t="shared" si="108"/>
        <v>230133</v>
      </c>
      <c r="D4368" s="9" t="str">
        <f>"230909126"</f>
        <v>230909126</v>
      </c>
      <c r="E4368" s="10">
        <v>76.989999999999995</v>
      </c>
      <c r="F4368" s="10"/>
      <c r="G4368" s="10">
        <v>77</v>
      </c>
      <c r="H4368" s="10"/>
      <c r="I4368" s="10">
        <v>77</v>
      </c>
    </row>
    <row r="4369" spans="1:9" s="1" customFormat="1" ht="21.75" customHeight="1">
      <c r="A4369" s="8" t="s">
        <v>28</v>
      </c>
      <c r="B4369" s="8" t="s">
        <v>16</v>
      </c>
      <c r="C4369" s="9" t="str">
        <f t="shared" si="108"/>
        <v>230133</v>
      </c>
      <c r="D4369" s="9" t="str">
        <f>"230909619"</f>
        <v>230909619</v>
      </c>
      <c r="E4369" s="10">
        <v>79.05</v>
      </c>
      <c r="F4369" s="10"/>
      <c r="G4369" s="10">
        <v>75.5</v>
      </c>
      <c r="H4369" s="10"/>
      <c r="I4369" s="10">
        <v>76.92</v>
      </c>
    </row>
    <row r="4370" spans="1:9" s="1" customFormat="1" ht="21.75" customHeight="1">
      <c r="A4370" s="8" t="s">
        <v>28</v>
      </c>
      <c r="B4370" s="8" t="s">
        <v>16</v>
      </c>
      <c r="C4370" s="9" t="str">
        <f t="shared" si="108"/>
        <v>230133</v>
      </c>
      <c r="D4370" s="9" t="str">
        <f>"230909724"</f>
        <v>230909724</v>
      </c>
      <c r="E4370" s="10">
        <v>75.150000000000006</v>
      </c>
      <c r="F4370" s="10"/>
      <c r="G4370" s="10">
        <v>78</v>
      </c>
      <c r="H4370" s="10"/>
      <c r="I4370" s="10">
        <v>76.86</v>
      </c>
    </row>
    <row r="4371" spans="1:9" ht="21.75" customHeight="1">
      <c r="A4371" s="8" t="s">
        <v>28</v>
      </c>
      <c r="B4371" s="8" t="s">
        <v>16</v>
      </c>
      <c r="C4371" s="9" t="str">
        <f t="shared" si="108"/>
        <v>230133</v>
      </c>
      <c r="D4371" s="9" t="str">
        <f>"230909017"</f>
        <v>230909017</v>
      </c>
      <c r="E4371" s="10">
        <v>74.239999999999995</v>
      </c>
      <c r="F4371" s="10"/>
      <c r="G4371" s="10">
        <v>78.5</v>
      </c>
      <c r="H4371" s="10"/>
      <c r="I4371" s="10">
        <v>76.8</v>
      </c>
    </row>
    <row r="4372" spans="1:9" ht="21.75" customHeight="1">
      <c r="A4372" s="8" t="s">
        <v>28</v>
      </c>
      <c r="B4372" s="8" t="s">
        <v>16</v>
      </c>
      <c r="C4372" s="9" t="str">
        <f t="shared" si="108"/>
        <v>230133</v>
      </c>
      <c r="D4372" s="9" t="str">
        <f>"230909418"</f>
        <v>230909418</v>
      </c>
      <c r="E4372" s="10">
        <v>82.5</v>
      </c>
      <c r="F4372" s="10"/>
      <c r="G4372" s="10">
        <v>73</v>
      </c>
      <c r="H4372" s="10"/>
      <c r="I4372" s="10">
        <v>76.8</v>
      </c>
    </row>
    <row r="4373" spans="1:9" ht="21.75" customHeight="1">
      <c r="A4373" s="8" t="s">
        <v>28</v>
      </c>
      <c r="B4373" s="8" t="s">
        <v>16</v>
      </c>
      <c r="C4373" s="9" t="str">
        <f t="shared" si="108"/>
        <v>230133</v>
      </c>
      <c r="D4373" s="9" t="str">
        <f>"230909403"</f>
        <v>230909403</v>
      </c>
      <c r="E4373" s="10">
        <v>78.48</v>
      </c>
      <c r="F4373" s="10"/>
      <c r="G4373" s="10">
        <v>75.5</v>
      </c>
      <c r="H4373" s="10"/>
      <c r="I4373" s="10">
        <v>76.69</v>
      </c>
    </row>
    <row r="4374" spans="1:9" ht="21.75" customHeight="1">
      <c r="A4374" s="8" t="s">
        <v>28</v>
      </c>
      <c r="B4374" s="8" t="s">
        <v>16</v>
      </c>
      <c r="C4374" s="9" t="str">
        <f t="shared" si="108"/>
        <v>230133</v>
      </c>
      <c r="D4374" s="9" t="str">
        <f>"230909013"</f>
        <v>230909013</v>
      </c>
      <c r="E4374" s="10">
        <v>79.88</v>
      </c>
      <c r="F4374" s="10"/>
      <c r="G4374" s="10">
        <v>74</v>
      </c>
      <c r="H4374" s="10"/>
      <c r="I4374" s="10">
        <v>76.349999999999994</v>
      </c>
    </row>
    <row r="4375" spans="1:9" s="1" customFormat="1" ht="21.75" customHeight="1">
      <c r="A4375" s="8" t="s">
        <v>28</v>
      </c>
      <c r="B4375" s="8" t="s">
        <v>16</v>
      </c>
      <c r="C4375" s="9" t="str">
        <f t="shared" si="108"/>
        <v>230133</v>
      </c>
      <c r="D4375" s="9" t="str">
        <f>"230909408"</f>
        <v>230909408</v>
      </c>
      <c r="E4375" s="10">
        <v>82.73</v>
      </c>
      <c r="F4375" s="10"/>
      <c r="G4375" s="10">
        <v>72</v>
      </c>
      <c r="H4375" s="10"/>
      <c r="I4375" s="10">
        <v>76.290000000000006</v>
      </c>
    </row>
    <row r="4376" spans="1:9" ht="21.75" customHeight="1">
      <c r="A4376" s="8" t="s">
        <v>28</v>
      </c>
      <c r="B4376" s="8" t="s">
        <v>16</v>
      </c>
      <c r="C4376" s="9" t="str">
        <f t="shared" si="108"/>
        <v>230133</v>
      </c>
      <c r="D4376" s="9" t="str">
        <f>"230909428"</f>
        <v>230909428</v>
      </c>
      <c r="E4376" s="10">
        <v>78.14</v>
      </c>
      <c r="F4376" s="10"/>
      <c r="G4376" s="10">
        <v>75</v>
      </c>
      <c r="H4376" s="10"/>
      <c r="I4376" s="10">
        <v>76.260000000000005</v>
      </c>
    </row>
    <row r="4377" spans="1:9" ht="21.75" customHeight="1">
      <c r="A4377" s="8" t="s">
        <v>28</v>
      </c>
      <c r="B4377" s="8" t="s">
        <v>16</v>
      </c>
      <c r="C4377" s="9" t="str">
        <f t="shared" si="108"/>
        <v>230133</v>
      </c>
      <c r="D4377" s="9" t="str">
        <f>"230909325"</f>
        <v>230909325</v>
      </c>
      <c r="E4377" s="10">
        <v>77.209999999999994</v>
      </c>
      <c r="F4377" s="10"/>
      <c r="G4377" s="10">
        <v>75.5</v>
      </c>
      <c r="H4377" s="10"/>
      <c r="I4377" s="10">
        <v>76.180000000000007</v>
      </c>
    </row>
    <row r="4378" spans="1:9" s="1" customFormat="1" ht="21.75" customHeight="1">
      <c r="A4378" s="8" t="s">
        <v>28</v>
      </c>
      <c r="B4378" s="8" t="s">
        <v>16</v>
      </c>
      <c r="C4378" s="9" t="str">
        <f t="shared" si="108"/>
        <v>230133</v>
      </c>
      <c r="D4378" s="9" t="str">
        <f>"230909702"</f>
        <v>230909702</v>
      </c>
      <c r="E4378" s="10">
        <v>72.63</v>
      </c>
      <c r="F4378" s="10"/>
      <c r="G4378" s="10">
        <v>78.5</v>
      </c>
      <c r="H4378" s="10"/>
      <c r="I4378" s="10">
        <v>76.150000000000006</v>
      </c>
    </row>
    <row r="4379" spans="1:9" ht="21.75" customHeight="1">
      <c r="A4379" s="8" t="s">
        <v>28</v>
      </c>
      <c r="B4379" s="8" t="s">
        <v>16</v>
      </c>
      <c r="C4379" s="9" t="str">
        <f t="shared" si="108"/>
        <v>230133</v>
      </c>
      <c r="D4379" s="9" t="str">
        <f>"230909329"</f>
        <v>230909329</v>
      </c>
      <c r="E4379" s="10">
        <v>77.010000000000005</v>
      </c>
      <c r="F4379" s="10"/>
      <c r="G4379" s="10">
        <v>75.5</v>
      </c>
      <c r="H4379" s="10"/>
      <c r="I4379" s="10">
        <v>76.099999999999994</v>
      </c>
    </row>
    <row r="4380" spans="1:9" ht="21.75" customHeight="1">
      <c r="A4380" s="8" t="s">
        <v>28</v>
      </c>
      <c r="B4380" s="8" t="s">
        <v>16</v>
      </c>
      <c r="C4380" s="9" t="str">
        <f t="shared" si="108"/>
        <v>230133</v>
      </c>
      <c r="D4380" s="9" t="str">
        <f>"230909402"</f>
        <v>230909402</v>
      </c>
      <c r="E4380" s="10">
        <v>75.489999999999995</v>
      </c>
      <c r="F4380" s="10"/>
      <c r="G4380" s="10">
        <v>76.5</v>
      </c>
      <c r="H4380" s="10"/>
      <c r="I4380" s="10">
        <v>76.099999999999994</v>
      </c>
    </row>
    <row r="4381" spans="1:9" ht="21.75" customHeight="1">
      <c r="A4381" s="8" t="s">
        <v>28</v>
      </c>
      <c r="B4381" s="8" t="s">
        <v>16</v>
      </c>
      <c r="C4381" s="9" t="str">
        <f t="shared" si="108"/>
        <v>230133</v>
      </c>
      <c r="D4381" s="9" t="str">
        <f>"230909501"</f>
        <v>230909501</v>
      </c>
      <c r="E4381" s="10">
        <v>73.42</v>
      </c>
      <c r="F4381" s="10"/>
      <c r="G4381" s="10">
        <v>77.5</v>
      </c>
      <c r="H4381" s="10"/>
      <c r="I4381" s="10">
        <v>75.87</v>
      </c>
    </row>
    <row r="4382" spans="1:9" s="1" customFormat="1" ht="21.75" customHeight="1">
      <c r="A4382" s="8" t="s">
        <v>28</v>
      </c>
      <c r="B4382" s="8" t="s">
        <v>16</v>
      </c>
      <c r="C4382" s="9" t="str">
        <f t="shared" si="108"/>
        <v>230133</v>
      </c>
      <c r="D4382" s="9" t="str">
        <f>"230909704"</f>
        <v>230909704</v>
      </c>
      <c r="E4382" s="10">
        <v>77.91</v>
      </c>
      <c r="F4382" s="10"/>
      <c r="G4382" s="10">
        <v>74.5</v>
      </c>
      <c r="H4382" s="10"/>
      <c r="I4382" s="10">
        <v>75.86</v>
      </c>
    </row>
    <row r="4383" spans="1:9" s="1" customFormat="1" ht="21.75" customHeight="1">
      <c r="A4383" s="8" t="s">
        <v>28</v>
      </c>
      <c r="B4383" s="8" t="s">
        <v>16</v>
      </c>
      <c r="C4383" s="9" t="str">
        <f t="shared" si="108"/>
        <v>230133</v>
      </c>
      <c r="D4383" s="9" t="str">
        <f>"230909426"</f>
        <v>230909426</v>
      </c>
      <c r="E4383" s="10">
        <v>78.63</v>
      </c>
      <c r="F4383" s="10"/>
      <c r="G4383" s="10">
        <v>74</v>
      </c>
      <c r="H4383" s="10"/>
      <c r="I4383" s="10">
        <v>75.849999999999994</v>
      </c>
    </row>
    <row r="4384" spans="1:9" ht="21.75" customHeight="1">
      <c r="A4384" s="8" t="s">
        <v>28</v>
      </c>
      <c r="B4384" s="8" t="s">
        <v>16</v>
      </c>
      <c r="C4384" s="9" t="str">
        <f t="shared" si="108"/>
        <v>230133</v>
      </c>
      <c r="D4384" s="9" t="str">
        <f>"230909219"</f>
        <v>230909219</v>
      </c>
      <c r="E4384" s="10">
        <v>73.42</v>
      </c>
      <c r="F4384" s="10"/>
      <c r="G4384" s="10">
        <v>77</v>
      </c>
      <c r="H4384" s="10"/>
      <c r="I4384" s="10">
        <v>75.569999999999993</v>
      </c>
    </row>
    <row r="4385" spans="1:9" s="1" customFormat="1" ht="21.75" customHeight="1">
      <c r="A4385" s="8" t="s">
        <v>28</v>
      </c>
      <c r="B4385" s="8" t="s">
        <v>16</v>
      </c>
      <c r="C4385" s="9" t="str">
        <f t="shared" si="108"/>
        <v>230133</v>
      </c>
      <c r="D4385" s="9" t="str">
        <f>"230909103"</f>
        <v>230909103</v>
      </c>
      <c r="E4385" s="10">
        <v>74.8</v>
      </c>
      <c r="F4385" s="10"/>
      <c r="G4385" s="10">
        <v>76</v>
      </c>
      <c r="H4385" s="10"/>
      <c r="I4385" s="10">
        <v>75.52</v>
      </c>
    </row>
    <row r="4386" spans="1:9" s="1" customFormat="1" ht="21.75" customHeight="1">
      <c r="A4386" s="8" t="s">
        <v>28</v>
      </c>
      <c r="B4386" s="8" t="s">
        <v>16</v>
      </c>
      <c r="C4386" s="9" t="str">
        <f t="shared" si="108"/>
        <v>230133</v>
      </c>
      <c r="D4386" s="9" t="str">
        <f>"230909716"</f>
        <v>230909716</v>
      </c>
      <c r="E4386" s="10">
        <v>75.510000000000005</v>
      </c>
      <c r="F4386" s="10"/>
      <c r="G4386" s="10">
        <v>75.5</v>
      </c>
      <c r="H4386" s="10"/>
      <c r="I4386" s="10">
        <v>75.5</v>
      </c>
    </row>
    <row r="4387" spans="1:9" ht="21.75" customHeight="1">
      <c r="A4387" s="8" t="s">
        <v>28</v>
      </c>
      <c r="B4387" s="8" t="s">
        <v>16</v>
      </c>
      <c r="C4387" s="9" t="str">
        <f t="shared" si="108"/>
        <v>230133</v>
      </c>
      <c r="D4387" s="9" t="str">
        <f>"230909628"</f>
        <v>230909628</v>
      </c>
      <c r="E4387" s="10">
        <v>76.64</v>
      </c>
      <c r="F4387" s="10"/>
      <c r="G4387" s="10">
        <v>74.5</v>
      </c>
      <c r="H4387" s="10"/>
      <c r="I4387" s="10">
        <v>75.36</v>
      </c>
    </row>
    <row r="4388" spans="1:9" ht="21.75" customHeight="1">
      <c r="A4388" s="8" t="s">
        <v>28</v>
      </c>
      <c r="B4388" s="8" t="s">
        <v>16</v>
      </c>
      <c r="C4388" s="9" t="str">
        <f t="shared" si="108"/>
        <v>230133</v>
      </c>
      <c r="D4388" s="9" t="str">
        <f>"230909627"</f>
        <v>230909627</v>
      </c>
      <c r="E4388" s="10">
        <v>71.239999999999995</v>
      </c>
      <c r="F4388" s="10"/>
      <c r="G4388" s="10">
        <v>78</v>
      </c>
      <c r="H4388" s="10"/>
      <c r="I4388" s="10">
        <v>75.3</v>
      </c>
    </row>
    <row r="4389" spans="1:9" ht="21.75" customHeight="1">
      <c r="A4389" s="8" t="s">
        <v>28</v>
      </c>
      <c r="B4389" s="8" t="s">
        <v>16</v>
      </c>
      <c r="C4389" s="9" t="str">
        <f t="shared" si="108"/>
        <v>230133</v>
      </c>
      <c r="D4389" s="9" t="str">
        <f>"230909406"</f>
        <v>230909406</v>
      </c>
      <c r="E4389" s="10">
        <v>76.98</v>
      </c>
      <c r="F4389" s="10"/>
      <c r="G4389" s="10">
        <v>74</v>
      </c>
      <c r="H4389" s="10"/>
      <c r="I4389" s="10">
        <v>75.19</v>
      </c>
    </row>
    <row r="4390" spans="1:9" ht="21.75" customHeight="1">
      <c r="A4390" s="8" t="s">
        <v>28</v>
      </c>
      <c r="B4390" s="8" t="s">
        <v>16</v>
      </c>
      <c r="C4390" s="9" t="str">
        <f t="shared" si="108"/>
        <v>230133</v>
      </c>
      <c r="D4390" s="9" t="str">
        <f>"230909816"</f>
        <v>230909816</v>
      </c>
      <c r="E4390" s="10">
        <v>76.08</v>
      </c>
      <c r="F4390" s="10"/>
      <c r="G4390" s="10">
        <v>74.5</v>
      </c>
      <c r="H4390" s="10"/>
      <c r="I4390" s="10">
        <v>75.13</v>
      </c>
    </row>
    <row r="4391" spans="1:9" s="1" customFormat="1" ht="21.75" customHeight="1">
      <c r="A4391" s="8" t="s">
        <v>28</v>
      </c>
      <c r="B4391" s="8" t="s">
        <v>16</v>
      </c>
      <c r="C4391" s="9" t="str">
        <f t="shared" si="108"/>
        <v>230133</v>
      </c>
      <c r="D4391" s="9" t="str">
        <f>"230909113"</f>
        <v>230909113</v>
      </c>
      <c r="E4391" s="10">
        <v>81.25</v>
      </c>
      <c r="F4391" s="10"/>
      <c r="G4391" s="10">
        <v>71</v>
      </c>
      <c r="H4391" s="10"/>
      <c r="I4391" s="10">
        <v>75.099999999999994</v>
      </c>
    </row>
    <row r="4392" spans="1:9" s="1" customFormat="1" ht="21.75" customHeight="1">
      <c r="A4392" s="8" t="s">
        <v>28</v>
      </c>
      <c r="B4392" s="8" t="s">
        <v>16</v>
      </c>
      <c r="C4392" s="9" t="str">
        <f t="shared" si="108"/>
        <v>230133</v>
      </c>
      <c r="D4392" s="9" t="str">
        <f>"230909824"</f>
        <v>230909824</v>
      </c>
      <c r="E4392" s="10">
        <v>75.73</v>
      </c>
      <c r="F4392" s="10"/>
      <c r="G4392" s="10">
        <v>74.5</v>
      </c>
      <c r="H4392" s="10"/>
      <c r="I4392" s="10">
        <v>74.989999999999995</v>
      </c>
    </row>
    <row r="4393" spans="1:9" ht="21.75" customHeight="1">
      <c r="A4393" s="8" t="s">
        <v>28</v>
      </c>
      <c r="B4393" s="8" t="s">
        <v>16</v>
      </c>
      <c r="C4393" s="9" t="str">
        <f t="shared" si="108"/>
        <v>230133</v>
      </c>
      <c r="D4393" s="9" t="str">
        <f>"230909222"</f>
        <v>230909222</v>
      </c>
      <c r="E4393" s="10">
        <v>77.91</v>
      </c>
      <c r="F4393" s="10"/>
      <c r="G4393" s="10">
        <v>73</v>
      </c>
      <c r="H4393" s="10"/>
      <c r="I4393" s="10">
        <v>74.959999999999994</v>
      </c>
    </row>
    <row r="4394" spans="1:9" s="1" customFormat="1" ht="21.75" customHeight="1">
      <c r="A4394" s="8" t="s">
        <v>28</v>
      </c>
      <c r="B4394" s="8" t="s">
        <v>16</v>
      </c>
      <c r="C4394" s="9" t="str">
        <f t="shared" si="108"/>
        <v>230133</v>
      </c>
      <c r="D4394" s="9" t="str">
        <f>"230909608"</f>
        <v>230909608</v>
      </c>
      <c r="E4394" s="10">
        <v>76.41</v>
      </c>
      <c r="F4394" s="10"/>
      <c r="G4394" s="10">
        <v>74</v>
      </c>
      <c r="H4394" s="10"/>
      <c r="I4394" s="10">
        <v>74.959999999999994</v>
      </c>
    </row>
    <row r="4395" spans="1:9" s="1" customFormat="1" ht="21.75" customHeight="1">
      <c r="A4395" s="8" t="s">
        <v>28</v>
      </c>
      <c r="B4395" s="8" t="s">
        <v>16</v>
      </c>
      <c r="C4395" s="9" t="str">
        <f t="shared" si="108"/>
        <v>230133</v>
      </c>
      <c r="D4395" s="9" t="str">
        <f>"230909624"</f>
        <v>230909624</v>
      </c>
      <c r="E4395" s="10">
        <v>75.849999999999994</v>
      </c>
      <c r="F4395" s="10"/>
      <c r="G4395" s="10">
        <v>74</v>
      </c>
      <c r="H4395" s="10"/>
      <c r="I4395" s="10">
        <v>74.739999999999995</v>
      </c>
    </row>
    <row r="4396" spans="1:9" ht="21.75" customHeight="1">
      <c r="A4396" s="8" t="s">
        <v>28</v>
      </c>
      <c r="B4396" s="8" t="s">
        <v>16</v>
      </c>
      <c r="C4396" s="9" t="str">
        <f t="shared" si="108"/>
        <v>230133</v>
      </c>
      <c r="D4396" s="9" t="str">
        <f>"230909710"</f>
        <v>230909710</v>
      </c>
      <c r="E4396" s="10">
        <v>77.900000000000006</v>
      </c>
      <c r="F4396" s="10"/>
      <c r="G4396" s="10">
        <v>72.5</v>
      </c>
      <c r="H4396" s="10"/>
      <c r="I4396" s="10">
        <v>74.66</v>
      </c>
    </row>
    <row r="4397" spans="1:9" ht="21.75" customHeight="1">
      <c r="A4397" s="8" t="s">
        <v>28</v>
      </c>
      <c r="B4397" s="8" t="s">
        <v>16</v>
      </c>
      <c r="C4397" s="9" t="str">
        <f t="shared" si="108"/>
        <v>230133</v>
      </c>
      <c r="D4397" s="9" t="str">
        <f>"230909813"</f>
        <v>230909813</v>
      </c>
      <c r="E4397" s="10">
        <v>76.989999999999995</v>
      </c>
      <c r="F4397" s="10"/>
      <c r="G4397" s="10">
        <v>73</v>
      </c>
      <c r="H4397" s="10"/>
      <c r="I4397" s="10">
        <v>74.599999999999994</v>
      </c>
    </row>
    <row r="4398" spans="1:9" ht="21.75" customHeight="1">
      <c r="A4398" s="8" t="s">
        <v>28</v>
      </c>
      <c r="B4398" s="8" t="s">
        <v>16</v>
      </c>
      <c r="C4398" s="9" t="str">
        <f t="shared" si="108"/>
        <v>230133</v>
      </c>
      <c r="D4398" s="9" t="str">
        <f>"230909822"</f>
        <v>230909822</v>
      </c>
      <c r="E4398" s="10">
        <v>73.89</v>
      </c>
      <c r="F4398" s="10"/>
      <c r="G4398" s="10">
        <v>75</v>
      </c>
      <c r="H4398" s="10"/>
      <c r="I4398" s="10">
        <v>74.56</v>
      </c>
    </row>
    <row r="4399" spans="1:9" s="1" customFormat="1" ht="21.75" customHeight="1">
      <c r="A4399" s="8" t="s">
        <v>28</v>
      </c>
      <c r="B4399" s="8" t="s">
        <v>16</v>
      </c>
      <c r="C4399" s="9" t="str">
        <f t="shared" si="108"/>
        <v>230133</v>
      </c>
      <c r="D4399" s="9" t="str">
        <f>"230909516"</f>
        <v>230909516</v>
      </c>
      <c r="E4399" s="10">
        <v>72.97</v>
      </c>
      <c r="F4399" s="10"/>
      <c r="G4399" s="10">
        <v>75.5</v>
      </c>
      <c r="H4399" s="10"/>
      <c r="I4399" s="10">
        <v>74.489999999999995</v>
      </c>
    </row>
    <row r="4400" spans="1:9" ht="21.75" customHeight="1">
      <c r="A4400" s="8" t="s">
        <v>28</v>
      </c>
      <c r="B4400" s="8" t="s">
        <v>16</v>
      </c>
      <c r="C4400" s="9" t="str">
        <f t="shared" si="108"/>
        <v>230133</v>
      </c>
      <c r="D4400" s="9" t="str">
        <f>"230909522"</f>
        <v>230909522</v>
      </c>
      <c r="E4400" s="10">
        <v>75.7</v>
      </c>
      <c r="F4400" s="10"/>
      <c r="G4400" s="10">
        <v>73.5</v>
      </c>
      <c r="H4400" s="10"/>
      <c r="I4400" s="10">
        <v>74.38</v>
      </c>
    </row>
    <row r="4401" spans="1:9" s="1" customFormat="1" ht="21.75" customHeight="1">
      <c r="A4401" s="8" t="s">
        <v>28</v>
      </c>
      <c r="B4401" s="8" t="s">
        <v>16</v>
      </c>
      <c r="C4401" s="9" t="str">
        <f t="shared" si="108"/>
        <v>230133</v>
      </c>
      <c r="D4401" s="9" t="str">
        <f>"230909030"</f>
        <v>230909030</v>
      </c>
      <c r="E4401" s="10">
        <v>70.89</v>
      </c>
      <c r="F4401" s="10"/>
      <c r="G4401" s="10">
        <v>76.5</v>
      </c>
      <c r="H4401" s="10"/>
      <c r="I4401" s="10">
        <v>74.260000000000005</v>
      </c>
    </row>
    <row r="4402" spans="1:9" ht="21.75" customHeight="1">
      <c r="A4402" s="8" t="s">
        <v>28</v>
      </c>
      <c r="B4402" s="8" t="s">
        <v>16</v>
      </c>
      <c r="C4402" s="9" t="str">
        <f t="shared" si="108"/>
        <v>230133</v>
      </c>
      <c r="D4402" s="9" t="str">
        <f>"230909401"</f>
        <v>230909401</v>
      </c>
      <c r="E4402" s="10">
        <v>76.87</v>
      </c>
      <c r="F4402" s="10"/>
      <c r="G4402" s="10">
        <v>72.5</v>
      </c>
      <c r="H4402" s="10"/>
      <c r="I4402" s="10">
        <v>74.25</v>
      </c>
    </row>
    <row r="4403" spans="1:9" s="1" customFormat="1" ht="21.75" customHeight="1">
      <c r="A4403" s="8" t="s">
        <v>28</v>
      </c>
      <c r="B4403" s="8" t="s">
        <v>16</v>
      </c>
      <c r="C4403" s="9" t="str">
        <f t="shared" si="108"/>
        <v>230133</v>
      </c>
      <c r="D4403" s="9" t="str">
        <f>"230909114"</f>
        <v>230909114</v>
      </c>
      <c r="E4403" s="10">
        <v>74.23</v>
      </c>
      <c r="F4403" s="10"/>
      <c r="G4403" s="10">
        <v>74</v>
      </c>
      <c r="H4403" s="10"/>
      <c r="I4403" s="10">
        <v>74.09</v>
      </c>
    </row>
    <row r="4404" spans="1:9" s="1" customFormat="1" ht="21.75" customHeight="1">
      <c r="A4404" s="8" t="s">
        <v>28</v>
      </c>
      <c r="B4404" s="8" t="s">
        <v>16</v>
      </c>
      <c r="C4404" s="9" t="str">
        <f t="shared" si="108"/>
        <v>230133</v>
      </c>
      <c r="D4404" s="9" t="str">
        <f>"230909425"</f>
        <v>230909425</v>
      </c>
      <c r="E4404" s="10">
        <v>76.08</v>
      </c>
      <c r="F4404" s="10"/>
      <c r="G4404" s="10">
        <v>72.5</v>
      </c>
      <c r="H4404" s="10"/>
      <c r="I4404" s="10">
        <v>73.930000000000007</v>
      </c>
    </row>
    <row r="4405" spans="1:9" s="1" customFormat="1" ht="21.75" customHeight="1">
      <c r="A4405" s="8" t="s">
        <v>28</v>
      </c>
      <c r="B4405" s="8" t="s">
        <v>16</v>
      </c>
      <c r="C4405" s="9" t="str">
        <f t="shared" si="108"/>
        <v>230133</v>
      </c>
      <c r="D4405" s="9" t="str">
        <f>"230909410"</f>
        <v>230909410</v>
      </c>
      <c r="E4405" s="10">
        <v>66.98</v>
      </c>
      <c r="F4405" s="10"/>
      <c r="G4405" s="10">
        <v>78.5</v>
      </c>
      <c r="H4405" s="10"/>
      <c r="I4405" s="10">
        <v>73.89</v>
      </c>
    </row>
    <row r="4406" spans="1:9" s="1" customFormat="1" ht="21.75" customHeight="1">
      <c r="A4406" s="8" t="s">
        <v>28</v>
      </c>
      <c r="B4406" s="8" t="s">
        <v>16</v>
      </c>
      <c r="C4406" s="9" t="str">
        <f t="shared" si="108"/>
        <v>230133</v>
      </c>
      <c r="D4406" s="9" t="str">
        <f>"230909022"</f>
        <v>230909022</v>
      </c>
      <c r="E4406" s="10">
        <v>70.66</v>
      </c>
      <c r="F4406" s="10"/>
      <c r="G4406" s="10">
        <v>76</v>
      </c>
      <c r="H4406" s="10"/>
      <c r="I4406" s="10">
        <v>73.86</v>
      </c>
    </row>
    <row r="4407" spans="1:9" ht="21.75" customHeight="1">
      <c r="A4407" s="8" t="s">
        <v>28</v>
      </c>
      <c r="B4407" s="8" t="s">
        <v>16</v>
      </c>
      <c r="C4407" s="9" t="str">
        <f t="shared" si="108"/>
        <v>230133</v>
      </c>
      <c r="D4407" s="9" t="str">
        <f>"230909324"</f>
        <v>230909324</v>
      </c>
      <c r="E4407" s="10">
        <v>72.88</v>
      </c>
      <c r="F4407" s="10"/>
      <c r="G4407" s="10">
        <v>74.5</v>
      </c>
      <c r="H4407" s="10"/>
      <c r="I4407" s="10">
        <v>73.849999999999994</v>
      </c>
    </row>
    <row r="4408" spans="1:9" ht="21.75" customHeight="1">
      <c r="A4408" s="8" t="s">
        <v>28</v>
      </c>
      <c r="B4408" s="8" t="s">
        <v>16</v>
      </c>
      <c r="C4408" s="9" t="str">
        <f t="shared" si="108"/>
        <v>230133</v>
      </c>
      <c r="D4408" s="9" t="str">
        <f>"230909306"</f>
        <v>230909306</v>
      </c>
      <c r="E4408" s="10">
        <v>70.540000000000006</v>
      </c>
      <c r="F4408" s="10"/>
      <c r="G4408" s="10">
        <v>76</v>
      </c>
      <c r="H4408" s="10"/>
      <c r="I4408" s="10">
        <v>73.819999999999993</v>
      </c>
    </row>
    <row r="4409" spans="1:9" ht="21.75" customHeight="1">
      <c r="A4409" s="8" t="s">
        <v>28</v>
      </c>
      <c r="B4409" s="8" t="s">
        <v>16</v>
      </c>
      <c r="C4409" s="9" t="str">
        <f t="shared" si="108"/>
        <v>230133</v>
      </c>
      <c r="D4409" s="9" t="str">
        <f>"230909202"</f>
        <v>230909202</v>
      </c>
      <c r="E4409" s="10">
        <v>77.22</v>
      </c>
      <c r="F4409" s="10"/>
      <c r="G4409" s="10">
        <v>71.5</v>
      </c>
      <c r="H4409" s="10"/>
      <c r="I4409" s="10">
        <v>73.790000000000006</v>
      </c>
    </row>
    <row r="4410" spans="1:9" ht="21.75" customHeight="1">
      <c r="A4410" s="8" t="s">
        <v>28</v>
      </c>
      <c r="B4410" s="8" t="s">
        <v>16</v>
      </c>
      <c r="C4410" s="9" t="str">
        <f t="shared" si="108"/>
        <v>230133</v>
      </c>
      <c r="D4410" s="9" t="str">
        <f>"230909629"</f>
        <v>230909629</v>
      </c>
      <c r="E4410" s="10">
        <v>75.14</v>
      </c>
      <c r="F4410" s="10"/>
      <c r="G4410" s="10">
        <v>72.5</v>
      </c>
      <c r="H4410" s="10"/>
      <c r="I4410" s="10">
        <v>73.56</v>
      </c>
    </row>
    <row r="4411" spans="1:9" s="1" customFormat="1" ht="21.75" customHeight="1">
      <c r="A4411" s="8" t="s">
        <v>28</v>
      </c>
      <c r="B4411" s="8" t="s">
        <v>16</v>
      </c>
      <c r="C4411" s="9" t="str">
        <f t="shared" si="108"/>
        <v>230133</v>
      </c>
      <c r="D4411" s="9" t="str">
        <f>"230909810"</f>
        <v>230909810</v>
      </c>
      <c r="E4411" s="10">
        <v>69.069999999999993</v>
      </c>
      <c r="F4411" s="10"/>
      <c r="G4411" s="10">
        <v>76.5</v>
      </c>
      <c r="H4411" s="10"/>
      <c r="I4411" s="10">
        <v>73.53</v>
      </c>
    </row>
    <row r="4412" spans="1:9" ht="21.75" customHeight="1">
      <c r="A4412" s="8" t="s">
        <v>28</v>
      </c>
      <c r="B4412" s="8" t="s">
        <v>16</v>
      </c>
      <c r="C4412" s="9" t="str">
        <f t="shared" si="108"/>
        <v>230133</v>
      </c>
      <c r="D4412" s="9" t="str">
        <f>"230909108"</f>
        <v>230909108</v>
      </c>
      <c r="E4412" s="10">
        <v>68.7</v>
      </c>
      <c r="F4412" s="10"/>
      <c r="G4412" s="10">
        <v>76.5</v>
      </c>
      <c r="H4412" s="10"/>
      <c r="I4412" s="10">
        <v>73.38</v>
      </c>
    </row>
    <row r="4413" spans="1:9" ht="21.75" customHeight="1">
      <c r="A4413" s="8" t="s">
        <v>28</v>
      </c>
      <c r="B4413" s="8" t="s">
        <v>16</v>
      </c>
      <c r="C4413" s="9" t="str">
        <f t="shared" si="108"/>
        <v>230133</v>
      </c>
      <c r="D4413" s="9" t="str">
        <f>"230909803"</f>
        <v>230909803</v>
      </c>
      <c r="E4413" s="10">
        <v>73.88</v>
      </c>
      <c r="F4413" s="10"/>
      <c r="G4413" s="10">
        <v>73</v>
      </c>
      <c r="H4413" s="10"/>
      <c r="I4413" s="10">
        <v>73.349999999999994</v>
      </c>
    </row>
    <row r="4414" spans="1:9" ht="21.75" customHeight="1">
      <c r="A4414" s="8" t="s">
        <v>28</v>
      </c>
      <c r="B4414" s="8" t="s">
        <v>16</v>
      </c>
      <c r="C4414" s="9" t="str">
        <f t="shared" si="108"/>
        <v>230133</v>
      </c>
      <c r="D4414" s="9" t="str">
        <f>"230909207"</f>
        <v>230909207</v>
      </c>
      <c r="E4414" s="10">
        <v>71.58</v>
      </c>
      <c r="F4414" s="10"/>
      <c r="G4414" s="10">
        <v>74.5</v>
      </c>
      <c r="H4414" s="10"/>
      <c r="I4414" s="10">
        <v>73.33</v>
      </c>
    </row>
    <row r="4415" spans="1:9" ht="21.75" customHeight="1">
      <c r="A4415" s="8" t="s">
        <v>28</v>
      </c>
      <c r="B4415" s="8" t="s">
        <v>16</v>
      </c>
      <c r="C4415" s="9" t="str">
        <f t="shared" si="108"/>
        <v>230133</v>
      </c>
      <c r="D4415" s="9" t="str">
        <f>"230909303"</f>
        <v>230909303</v>
      </c>
      <c r="E4415" s="10">
        <v>79.760000000000005</v>
      </c>
      <c r="F4415" s="10"/>
      <c r="G4415" s="10">
        <v>69</v>
      </c>
      <c r="H4415" s="10"/>
      <c r="I4415" s="10">
        <v>73.3</v>
      </c>
    </row>
    <row r="4416" spans="1:9" ht="21.75" customHeight="1">
      <c r="A4416" s="8" t="s">
        <v>28</v>
      </c>
      <c r="B4416" s="8" t="s">
        <v>16</v>
      </c>
      <c r="C4416" s="9" t="str">
        <f t="shared" si="108"/>
        <v>230133</v>
      </c>
      <c r="D4416" s="9" t="str">
        <f>"230909717"</f>
        <v>230909717</v>
      </c>
      <c r="E4416" s="10">
        <v>74.36</v>
      </c>
      <c r="F4416" s="10"/>
      <c r="G4416" s="10">
        <v>72.5</v>
      </c>
      <c r="H4416" s="10"/>
      <c r="I4416" s="10">
        <v>73.239999999999995</v>
      </c>
    </row>
    <row r="4417" spans="1:9" ht="21.75" customHeight="1">
      <c r="A4417" s="8" t="s">
        <v>28</v>
      </c>
      <c r="B4417" s="8" t="s">
        <v>16</v>
      </c>
      <c r="C4417" s="9" t="str">
        <f t="shared" si="108"/>
        <v>230133</v>
      </c>
      <c r="D4417" s="9" t="str">
        <f>"230909316"</f>
        <v>230909316</v>
      </c>
      <c r="E4417" s="10">
        <v>67.569999999999993</v>
      </c>
      <c r="F4417" s="10"/>
      <c r="G4417" s="10">
        <v>77</v>
      </c>
      <c r="H4417" s="10"/>
      <c r="I4417" s="10">
        <v>73.23</v>
      </c>
    </row>
    <row r="4418" spans="1:9" ht="21.75" customHeight="1">
      <c r="A4418" s="8" t="s">
        <v>28</v>
      </c>
      <c r="B4418" s="8" t="s">
        <v>16</v>
      </c>
      <c r="C4418" s="9" t="str">
        <f t="shared" si="108"/>
        <v>230133</v>
      </c>
      <c r="D4418" s="9" t="str">
        <f>"230909604"</f>
        <v>230909604</v>
      </c>
      <c r="E4418" s="10">
        <v>69.75</v>
      </c>
      <c r="F4418" s="10"/>
      <c r="G4418" s="10">
        <v>75.5</v>
      </c>
      <c r="H4418" s="10"/>
      <c r="I4418" s="10">
        <v>73.2</v>
      </c>
    </row>
    <row r="4419" spans="1:9" ht="21.75" customHeight="1">
      <c r="A4419" s="8" t="s">
        <v>28</v>
      </c>
      <c r="B4419" s="8" t="s">
        <v>16</v>
      </c>
      <c r="C4419" s="9" t="str">
        <f t="shared" si="108"/>
        <v>230133</v>
      </c>
      <c r="D4419" s="9" t="str">
        <f>"230909323"</f>
        <v>230909323</v>
      </c>
      <c r="E4419" s="10">
        <v>65.819999999999993</v>
      </c>
      <c r="F4419" s="10"/>
      <c r="G4419" s="10">
        <v>78</v>
      </c>
      <c r="H4419" s="10"/>
      <c r="I4419" s="10">
        <v>73.13</v>
      </c>
    </row>
    <row r="4420" spans="1:9" ht="21.75" customHeight="1">
      <c r="A4420" s="8" t="s">
        <v>28</v>
      </c>
      <c r="B4420" s="8" t="s">
        <v>16</v>
      </c>
      <c r="C4420" s="9" t="str">
        <f t="shared" si="108"/>
        <v>230133</v>
      </c>
      <c r="D4420" s="9" t="str">
        <f>"230909826"</f>
        <v>230909826</v>
      </c>
      <c r="E4420" s="10">
        <v>73.540000000000006</v>
      </c>
      <c r="F4420" s="10"/>
      <c r="G4420" s="10">
        <v>72.5</v>
      </c>
      <c r="H4420" s="10"/>
      <c r="I4420" s="10">
        <v>72.92</v>
      </c>
    </row>
    <row r="4421" spans="1:9" s="1" customFormat="1" ht="21.75" customHeight="1">
      <c r="A4421" s="8" t="s">
        <v>28</v>
      </c>
      <c r="B4421" s="8" t="s">
        <v>16</v>
      </c>
      <c r="C4421" s="9" t="str">
        <f t="shared" si="108"/>
        <v>230133</v>
      </c>
      <c r="D4421" s="9" t="str">
        <f>"230909507"</f>
        <v>230909507</v>
      </c>
      <c r="E4421" s="10">
        <v>84.72</v>
      </c>
      <c r="F4421" s="10"/>
      <c r="G4421" s="10">
        <v>65</v>
      </c>
      <c r="H4421" s="10"/>
      <c r="I4421" s="10">
        <v>72.89</v>
      </c>
    </row>
    <row r="4422" spans="1:9" s="1" customFormat="1" ht="21.75" customHeight="1">
      <c r="A4422" s="8" t="s">
        <v>28</v>
      </c>
      <c r="B4422" s="8" t="s">
        <v>16</v>
      </c>
      <c r="C4422" s="9" t="str">
        <f t="shared" ref="C4422:C4485" si="109">"230133"</f>
        <v>230133</v>
      </c>
      <c r="D4422" s="9" t="str">
        <f>"230909111"</f>
        <v>230909111</v>
      </c>
      <c r="E4422" s="10">
        <v>66.64</v>
      </c>
      <c r="F4422" s="10"/>
      <c r="G4422" s="10">
        <v>77</v>
      </c>
      <c r="H4422" s="10"/>
      <c r="I4422" s="10">
        <v>72.86</v>
      </c>
    </row>
    <row r="4423" spans="1:9" ht="21.75" customHeight="1">
      <c r="A4423" s="8" t="s">
        <v>28</v>
      </c>
      <c r="B4423" s="8" t="s">
        <v>16</v>
      </c>
      <c r="C4423" s="9" t="str">
        <f t="shared" si="109"/>
        <v>230133</v>
      </c>
      <c r="D4423" s="9" t="str">
        <f>"230909605"</f>
        <v>230909605</v>
      </c>
      <c r="E4423" s="10">
        <v>79.41</v>
      </c>
      <c r="F4423" s="10"/>
      <c r="G4423" s="10">
        <v>68.5</v>
      </c>
      <c r="H4423" s="10"/>
      <c r="I4423" s="10">
        <v>72.86</v>
      </c>
    </row>
    <row r="4424" spans="1:9" s="1" customFormat="1" ht="21.75" customHeight="1">
      <c r="A4424" s="8" t="s">
        <v>28</v>
      </c>
      <c r="B4424" s="8" t="s">
        <v>16</v>
      </c>
      <c r="C4424" s="9" t="str">
        <f t="shared" si="109"/>
        <v>230133</v>
      </c>
      <c r="D4424" s="9" t="str">
        <f>"230909209"</f>
        <v>230909209</v>
      </c>
      <c r="E4424" s="10">
        <v>71.81</v>
      </c>
      <c r="F4424" s="10"/>
      <c r="G4424" s="10">
        <v>73.5</v>
      </c>
      <c r="H4424" s="10"/>
      <c r="I4424" s="10">
        <v>72.819999999999993</v>
      </c>
    </row>
    <row r="4425" spans="1:9" s="1" customFormat="1" ht="21.75" customHeight="1">
      <c r="A4425" s="8" t="s">
        <v>28</v>
      </c>
      <c r="B4425" s="8" t="s">
        <v>16</v>
      </c>
      <c r="C4425" s="9" t="str">
        <f t="shared" si="109"/>
        <v>230133</v>
      </c>
      <c r="D4425" s="9" t="str">
        <f>"230909112"</f>
        <v>230909112</v>
      </c>
      <c r="E4425" s="10">
        <v>76.989999999999995</v>
      </c>
      <c r="F4425" s="10"/>
      <c r="G4425" s="10">
        <v>70</v>
      </c>
      <c r="H4425" s="10"/>
      <c r="I4425" s="10">
        <v>72.8</v>
      </c>
    </row>
    <row r="4426" spans="1:9" ht="21.75" customHeight="1">
      <c r="A4426" s="8" t="s">
        <v>28</v>
      </c>
      <c r="B4426" s="8" t="s">
        <v>16</v>
      </c>
      <c r="C4426" s="9" t="str">
        <f t="shared" si="109"/>
        <v>230133</v>
      </c>
      <c r="D4426" s="9" t="str">
        <f>"230909523"</f>
        <v>230909523</v>
      </c>
      <c r="E4426" s="10">
        <v>72.5</v>
      </c>
      <c r="F4426" s="10"/>
      <c r="G4426" s="10">
        <v>73</v>
      </c>
      <c r="H4426" s="10"/>
      <c r="I4426" s="10">
        <v>72.8</v>
      </c>
    </row>
    <row r="4427" spans="1:9" s="1" customFormat="1" ht="21.75" customHeight="1">
      <c r="A4427" s="8" t="s">
        <v>28</v>
      </c>
      <c r="B4427" s="8" t="s">
        <v>16</v>
      </c>
      <c r="C4427" s="9" t="str">
        <f t="shared" si="109"/>
        <v>230133</v>
      </c>
      <c r="D4427" s="9" t="str">
        <f>"230909423"</f>
        <v>230909423</v>
      </c>
      <c r="E4427" s="10">
        <v>71.12</v>
      </c>
      <c r="F4427" s="10">
        <v>2</v>
      </c>
      <c r="G4427" s="10">
        <v>70.5</v>
      </c>
      <c r="H4427" s="10">
        <v>2</v>
      </c>
      <c r="I4427" s="11">
        <v>72.75</v>
      </c>
    </row>
    <row r="4428" spans="1:9" ht="21.75" customHeight="1">
      <c r="A4428" s="8" t="s">
        <v>28</v>
      </c>
      <c r="B4428" s="8" t="s">
        <v>16</v>
      </c>
      <c r="C4428" s="9" t="str">
        <f t="shared" si="109"/>
        <v>230133</v>
      </c>
      <c r="D4428" s="9" t="str">
        <f>"230909322"</f>
        <v>230909322</v>
      </c>
      <c r="E4428" s="10">
        <v>65.59</v>
      </c>
      <c r="F4428" s="10"/>
      <c r="G4428" s="10">
        <v>77.5</v>
      </c>
      <c r="H4428" s="10"/>
      <c r="I4428" s="10">
        <v>72.739999999999995</v>
      </c>
    </row>
    <row r="4429" spans="1:9" ht="21.75" customHeight="1">
      <c r="A4429" s="8" t="s">
        <v>28</v>
      </c>
      <c r="B4429" s="8" t="s">
        <v>16</v>
      </c>
      <c r="C4429" s="9" t="str">
        <f t="shared" si="109"/>
        <v>230133</v>
      </c>
      <c r="D4429" s="9" t="str">
        <f>"230909719"</f>
        <v>230909719</v>
      </c>
      <c r="E4429" s="10">
        <v>72.16</v>
      </c>
      <c r="F4429" s="10"/>
      <c r="G4429" s="10">
        <v>73</v>
      </c>
      <c r="H4429" s="10"/>
      <c r="I4429" s="10">
        <v>72.66</v>
      </c>
    </row>
    <row r="4430" spans="1:9" ht="21.75" customHeight="1">
      <c r="A4430" s="8" t="s">
        <v>28</v>
      </c>
      <c r="B4430" s="8" t="s">
        <v>16</v>
      </c>
      <c r="C4430" s="9" t="str">
        <f t="shared" si="109"/>
        <v>230133</v>
      </c>
      <c r="D4430" s="9" t="str">
        <f>"230909019"</f>
        <v>230909019</v>
      </c>
      <c r="E4430" s="10">
        <v>72.87</v>
      </c>
      <c r="F4430" s="10"/>
      <c r="G4430" s="10">
        <v>72.5</v>
      </c>
      <c r="H4430" s="10"/>
      <c r="I4430" s="10">
        <v>72.650000000000006</v>
      </c>
    </row>
    <row r="4431" spans="1:9" ht="21.75" customHeight="1">
      <c r="A4431" s="8" t="s">
        <v>28</v>
      </c>
      <c r="B4431" s="8" t="s">
        <v>16</v>
      </c>
      <c r="C4431" s="9" t="str">
        <f t="shared" si="109"/>
        <v>230133</v>
      </c>
      <c r="D4431" s="9" t="str">
        <f>"230909508"</f>
        <v>230909508</v>
      </c>
      <c r="E4431" s="10">
        <v>68.34</v>
      </c>
      <c r="F4431" s="10"/>
      <c r="G4431" s="10">
        <v>75.5</v>
      </c>
      <c r="H4431" s="10"/>
      <c r="I4431" s="10">
        <v>72.64</v>
      </c>
    </row>
    <row r="4432" spans="1:9" s="1" customFormat="1" ht="21.75" customHeight="1">
      <c r="A4432" s="8" t="s">
        <v>28</v>
      </c>
      <c r="B4432" s="8" t="s">
        <v>16</v>
      </c>
      <c r="C4432" s="9" t="str">
        <f t="shared" si="109"/>
        <v>230133</v>
      </c>
      <c r="D4432" s="9" t="str">
        <f>"230909512"</f>
        <v>230909512</v>
      </c>
      <c r="E4432" s="10">
        <v>60.78</v>
      </c>
      <c r="F4432" s="10"/>
      <c r="G4432" s="10">
        <v>80.5</v>
      </c>
      <c r="H4432" s="10"/>
      <c r="I4432" s="10">
        <v>72.61</v>
      </c>
    </row>
    <row r="4433" spans="1:9" ht="21.75" customHeight="1">
      <c r="A4433" s="8" t="s">
        <v>28</v>
      </c>
      <c r="B4433" s="8" t="s">
        <v>16</v>
      </c>
      <c r="C4433" s="9" t="str">
        <f t="shared" si="109"/>
        <v>230133</v>
      </c>
      <c r="D4433" s="9" t="str">
        <f>"230909120"</f>
        <v>230909120</v>
      </c>
      <c r="E4433" s="10">
        <v>67.34</v>
      </c>
      <c r="F4433" s="10"/>
      <c r="G4433" s="10">
        <v>76</v>
      </c>
      <c r="H4433" s="10"/>
      <c r="I4433" s="10">
        <v>72.540000000000006</v>
      </c>
    </row>
    <row r="4434" spans="1:9" ht="21.75" customHeight="1">
      <c r="A4434" s="8" t="s">
        <v>28</v>
      </c>
      <c r="B4434" s="8" t="s">
        <v>16</v>
      </c>
      <c r="C4434" s="9" t="str">
        <f t="shared" si="109"/>
        <v>230133</v>
      </c>
      <c r="D4434" s="9" t="str">
        <f>"230909603"</f>
        <v>230909603</v>
      </c>
      <c r="E4434" s="10">
        <v>76.290000000000006</v>
      </c>
      <c r="F4434" s="10"/>
      <c r="G4434" s="10">
        <v>70</v>
      </c>
      <c r="H4434" s="10"/>
      <c r="I4434" s="10">
        <v>72.52</v>
      </c>
    </row>
    <row r="4435" spans="1:9" s="1" customFormat="1" ht="21.75" customHeight="1">
      <c r="A4435" s="8" t="s">
        <v>28</v>
      </c>
      <c r="B4435" s="8" t="s">
        <v>16</v>
      </c>
      <c r="C4435" s="9" t="str">
        <f t="shared" si="109"/>
        <v>230133</v>
      </c>
      <c r="D4435" s="9" t="str">
        <f>"230909027"</f>
        <v>230909027</v>
      </c>
      <c r="E4435" s="10">
        <v>73.900000000000006</v>
      </c>
      <c r="F4435" s="10"/>
      <c r="G4435" s="10">
        <v>71.5</v>
      </c>
      <c r="H4435" s="10"/>
      <c r="I4435" s="10">
        <v>72.459999999999994</v>
      </c>
    </row>
    <row r="4436" spans="1:9" ht="21.75" customHeight="1">
      <c r="A4436" s="8" t="s">
        <v>28</v>
      </c>
      <c r="B4436" s="8" t="s">
        <v>16</v>
      </c>
      <c r="C4436" s="9" t="str">
        <f t="shared" si="109"/>
        <v>230133</v>
      </c>
      <c r="D4436" s="9" t="str">
        <f>"230909518"</f>
        <v>230909518</v>
      </c>
      <c r="E4436" s="10">
        <v>67.88</v>
      </c>
      <c r="F4436" s="10"/>
      <c r="G4436" s="10">
        <v>75.5</v>
      </c>
      <c r="H4436" s="10"/>
      <c r="I4436" s="10">
        <v>72.45</v>
      </c>
    </row>
    <row r="4437" spans="1:9" ht="21.75" customHeight="1">
      <c r="A4437" s="8" t="s">
        <v>28</v>
      </c>
      <c r="B4437" s="8" t="s">
        <v>16</v>
      </c>
      <c r="C4437" s="9" t="str">
        <f t="shared" si="109"/>
        <v>230133</v>
      </c>
      <c r="D4437" s="9" t="str">
        <f>"230909811"</f>
        <v>230909811</v>
      </c>
      <c r="E4437" s="10">
        <v>72.38</v>
      </c>
      <c r="F4437" s="10"/>
      <c r="G4437" s="10">
        <v>72.5</v>
      </c>
      <c r="H4437" s="10"/>
      <c r="I4437" s="10">
        <v>72.45</v>
      </c>
    </row>
    <row r="4438" spans="1:9" ht="21.75" customHeight="1">
      <c r="A4438" s="8" t="s">
        <v>28</v>
      </c>
      <c r="B4438" s="8" t="s">
        <v>16</v>
      </c>
      <c r="C4438" s="9" t="str">
        <f t="shared" si="109"/>
        <v>230133</v>
      </c>
      <c r="D4438" s="9" t="str">
        <f>"230909825"</f>
        <v>230909825</v>
      </c>
      <c r="E4438" s="10">
        <v>69.040000000000006</v>
      </c>
      <c r="F4438" s="10"/>
      <c r="G4438" s="10">
        <v>74.5</v>
      </c>
      <c r="H4438" s="10"/>
      <c r="I4438" s="10">
        <v>72.319999999999993</v>
      </c>
    </row>
    <row r="4439" spans="1:9" ht="21.75" customHeight="1">
      <c r="A4439" s="8" t="s">
        <v>28</v>
      </c>
      <c r="B4439" s="8" t="s">
        <v>16</v>
      </c>
      <c r="C4439" s="9" t="str">
        <f t="shared" si="109"/>
        <v>230133</v>
      </c>
      <c r="D4439" s="9" t="str">
        <f>"230909509"</f>
        <v>230909509</v>
      </c>
      <c r="E4439" s="10">
        <v>71.23</v>
      </c>
      <c r="F4439" s="10"/>
      <c r="G4439" s="10">
        <v>73</v>
      </c>
      <c r="H4439" s="10"/>
      <c r="I4439" s="10">
        <v>72.290000000000006</v>
      </c>
    </row>
    <row r="4440" spans="1:9" ht="21.75" customHeight="1">
      <c r="A4440" s="8" t="s">
        <v>28</v>
      </c>
      <c r="B4440" s="8" t="s">
        <v>16</v>
      </c>
      <c r="C4440" s="9" t="str">
        <f t="shared" si="109"/>
        <v>230133</v>
      </c>
      <c r="D4440" s="9" t="str">
        <f>"230909527"</f>
        <v>230909527</v>
      </c>
      <c r="E4440" s="10">
        <v>67.91</v>
      </c>
      <c r="F4440" s="10"/>
      <c r="G4440" s="10">
        <v>75</v>
      </c>
      <c r="H4440" s="10"/>
      <c r="I4440" s="10">
        <v>72.16</v>
      </c>
    </row>
    <row r="4441" spans="1:9" ht="21.75" customHeight="1">
      <c r="A4441" s="8" t="s">
        <v>28</v>
      </c>
      <c r="B4441" s="8" t="s">
        <v>16</v>
      </c>
      <c r="C4441" s="9" t="str">
        <f t="shared" si="109"/>
        <v>230133</v>
      </c>
      <c r="D4441" s="9" t="str">
        <f>"230909504"</f>
        <v>230909504</v>
      </c>
      <c r="E4441" s="10">
        <v>73.099999999999994</v>
      </c>
      <c r="F4441" s="10"/>
      <c r="G4441" s="10">
        <v>71.5</v>
      </c>
      <c r="H4441" s="10"/>
      <c r="I4441" s="10">
        <v>72.14</v>
      </c>
    </row>
    <row r="4442" spans="1:9" s="1" customFormat="1" ht="21.75" customHeight="1">
      <c r="A4442" s="8" t="s">
        <v>28</v>
      </c>
      <c r="B4442" s="8" t="s">
        <v>16</v>
      </c>
      <c r="C4442" s="9" t="str">
        <f t="shared" si="109"/>
        <v>230133</v>
      </c>
      <c r="D4442" s="9" t="str">
        <f>"230909203"</f>
        <v>230909203</v>
      </c>
      <c r="E4442" s="10">
        <v>68.48</v>
      </c>
      <c r="F4442" s="10"/>
      <c r="G4442" s="10">
        <v>74.5</v>
      </c>
      <c r="H4442" s="10"/>
      <c r="I4442" s="10">
        <v>72.09</v>
      </c>
    </row>
    <row r="4443" spans="1:9" ht="21.75" customHeight="1">
      <c r="A4443" s="8" t="s">
        <v>28</v>
      </c>
      <c r="B4443" s="8" t="s">
        <v>16</v>
      </c>
      <c r="C4443" s="9" t="str">
        <f t="shared" si="109"/>
        <v>230133</v>
      </c>
      <c r="D4443" s="9" t="str">
        <f>"230909511"</f>
        <v>230909511</v>
      </c>
      <c r="E4443" s="10">
        <v>74.459999999999994</v>
      </c>
      <c r="F4443" s="10"/>
      <c r="G4443" s="10">
        <v>70.5</v>
      </c>
      <c r="H4443" s="10"/>
      <c r="I4443" s="10">
        <v>72.08</v>
      </c>
    </row>
    <row r="4444" spans="1:9" ht="21.75" customHeight="1">
      <c r="A4444" s="8" t="s">
        <v>28</v>
      </c>
      <c r="B4444" s="8" t="s">
        <v>16</v>
      </c>
      <c r="C4444" s="9" t="str">
        <f t="shared" si="109"/>
        <v>230133</v>
      </c>
      <c r="D4444" s="9" t="str">
        <f>"230909510"</f>
        <v>230909510</v>
      </c>
      <c r="E4444" s="10">
        <v>73.66</v>
      </c>
      <c r="F4444" s="10"/>
      <c r="G4444" s="10">
        <v>71</v>
      </c>
      <c r="H4444" s="10"/>
      <c r="I4444" s="10">
        <v>72.06</v>
      </c>
    </row>
    <row r="4445" spans="1:9" s="1" customFormat="1" ht="21.75" customHeight="1">
      <c r="A4445" s="8" t="s">
        <v>28</v>
      </c>
      <c r="B4445" s="8" t="s">
        <v>16</v>
      </c>
      <c r="C4445" s="9" t="str">
        <f t="shared" si="109"/>
        <v>230133</v>
      </c>
      <c r="D4445" s="9" t="str">
        <f>"230909809"</f>
        <v>230909809</v>
      </c>
      <c r="E4445" s="10">
        <v>64.23</v>
      </c>
      <c r="F4445" s="10"/>
      <c r="G4445" s="10">
        <v>77</v>
      </c>
      <c r="H4445" s="10"/>
      <c r="I4445" s="10">
        <v>71.89</v>
      </c>
    </row>
    <row r="4446" spans="1:9" s="1" customFormat="1" ht="21.75" customHeight="1">
      <c r="A4446" s="8" t="s">
        <v>28</v>
      </c>
      <c r="B4446" s="8" t="s">
        <v>16</v>
      </c>
      <c r="C4446" s="9" t="str">
        <f t="shared" si="109"/>
        <v>230133</v>
      </c>
      <c r="D4446" s="9" t="str">
        <f>"230909127"</f>
        <v>230909127</v>
      </c>
      <c r="E4446" s="10">
        <v>64.92</v>
      </c>
      <c r="F4446" s="10"/>
      <c r="G4446" s="10">
        <v>76.5</v>
      </c>
      <c r="H4446" s="10"/>
      <c r="I4446" s="10">
        <v>71.87</v>
      </c>
    </row>
    <row r="4447" spans="1:9" s="1" customFormat="1" ht="21.75" customHeight="1">
      <c r="A4447" s="8" t="s">
        <v>28</v>
      </c>
      <c r="B4447" s="8" t="s">
        <v>16</v>
      </c>
      <c r="C4447" s="9" t="str">
        <f t="shared" si="109"/>
        <v>230133</v>
      </c>
      <c r="D4447" s="9" t="str">
        <f>"230909328"</f>
        <v>230909328</v>
      </c>
      <c r="E4447" s="10">
        <v>67.91</v>
      </c>
      <c r="F4447" s="10"/>
      <c r="G4447" s="10">
        <v>74.5</v>
      </c>
      <c r="H4447" s="10"/>
      <c r="I4447" s="10">
        <v>71.86</v>
      </c>
    </row>
    <row r="4448" spans="1:9" ht="21.75" customHeight="1">
      <c r="A4448" s="8" t="s">
        <v>28</v>
      </c>
      <c r="B4448" s="8" t="s">
        <v>16</v>
      </c>
      <c r="C4448" s="9" t="str">
        <f t="shared" si="109"/>
        <v>230133</v>
      </c>
      <c r="D4448" s="9" t="str">
        <f>"230909107"</f>
        <v>230909107</v>
      </c>
      <c r="E4448" s="10">
        <v>72.05</v>
      </c>
      <c r="F4448" s="10"/>
      <c r="G4448" s="10">
        <v>71.5</v>
      </c>
      <c r="H4448" s="10"/>
      <c r="I4448" s="10">
        <v>71.72</v>
      </c>
    </row>
    <row r="4449" spans="1:9" s="1" customFormat="1" ht="21.75" customHeight="1">
      <c r="A4449" s="8" t="s">
        <v>28</v>
      </c>
      <c r="B4449" s="8" t="s">
        <v>16</v>
      </c>
      <c r="C4449" s="9" t="str">
        <f t="shared" si="109"/>
        <v>230133</v>
      </c>
      <c r="D4449" s="9" t="str">
        <f>"230909827"</f>
        <v>230909827</v>
      </c>
      <c r="E4449" s="10">
        <v>68.13</v>
      </c>
      <c r="F4449" s="10"/>
      <c r="G4449" s="10">
        <v>74</v>
      </c>
      <c r="H4449" s="10"/>
      <c r="I4449" s="10">
        <v>71.650000000000006</v>
      </c>
    </row>
    <row r="4450" spans="1:9" ht="21.75" customHeight="1">
      <c r="A4450" s="8" t="s">
        <v>28</v>
      </c>
      <c r="B4450" s="8" t="s">
        <v>16</v>
      </c>
      <c r="C4450" s="9" t="str">
        <f t="shared" si="109"/>
        <v>230133</v>
      </c>
      <c r="D4450" s="9" t="str">
        <f>"230909529"</f>
        <v>230909529</v>
      </c>
      <c r="E4450" s="10">
        <v>68.84</v>
      </c>
      <c r="F4450" s="10"/>
      <c r="G4450" s="10">
        <v>73.5</v>
      </c>
      <c r="H4450" s="10"/>
      <c r="I4450" s="10">
        <v>71.64</v>
      </c>
    </row>
    <row r="4451" spans="1:9" ht="21.75" customHeight="1">
      <c r="A4451" s="8" t="s">
        <v>28</v>
      </c>
      <c r="B4451" s="8" t="s">
        <v>16</v>
      </c>
      <c r="C4451" s="9" t="str">
        <f t="shared" si="109"/>
        <v>230133</v>
      </c>
      <c r="D4451" s="9" t="str">
        <f>"230909405"</f>
        <v>230909405</v>
      </c>
      <c r="E4451" s="10">
        <v>68.819999999999993</v>
      </c>
      <c r="F4451" s="10"/>
      <c r="G4451" s="10">
        <v>73.5</v>
      </c>
      <c r="H4451" s="10"/>
      <c r="I4451" s="10">
        <v>71.63</v>
      </c>
    </row>
    <row r="4452" spans="1:9" s="1" customFormat="1" ht="21.75" customHeight="1">
      <c r="A4452" s="8" t="s">
        <v>28</v>
      </c>
      <c r="B4452" s="8" t="s">
        <v>16</v>
      </c>
      <c r="C4452" s="9" t="str">
        <f t="shared" si="109"/>
        <v>230133</v>
      </c>
      <c r="D4452" s="9" t="str">
        <f>"230909415"</f>
        <v>230909415</v>
      </c>
      <c r="E4452" s="10">
        <v>72.5</v>
      </c>
      <c r="F4452" s="10"/>
      <c r="G4452" s="10">
        <v>71</v>
      </c>
      <c r="H4452" s="10"/>
      <c r="I4452" s="10">
        <v>71.599999999999994</v>
      </c>
    </row>
    <row r="4453" spans="1:9" ht="21.75" customHeight="1">
      <c r="A4453" s="8" t="s">
        <v>28</v>
      </c>
      <c r="B4453" s="8" t="s">
        <v>16</v>
      </c>
      <c r="C4453" s="9" t="str">
        <f t="shared" si="109"/>
        <v>230133</v>
      </c>
      <c r="D4453" s="9" t="str">
        <f>"230909820"</f>
        <v>230909820</v>
      </c>
      <c r="E4453" s="10">
        <v>73.89</v>
      </c>
      <c r="F4453" s="10"/>
      <c r="G4453" s="10">
        <v>70</v>
      </c>
      <c r="H4453" s="10"/>
      <c r="I4453" s="10">
        <v>71.56</v>
      </c>
    </row>
    <row r="4454" spans="1:9" s="1" customFormat="1" ht="21.75" customHeight="1">
      <c r="A4454" s="8" t="s">
        <v>28</v>
      </c>
      <c r="B4454" s="8" t="s">
        <v>16</v>
      </c>
      <c r="C4454" s="9" t="str">
        <f t="shared" si="109"/>
        <v>230133</v>
      </c>
      <c r="D4454" s="9" t="str">
        <f>"230909721"</f>
        <v>230909721</v>
      </c>
      <c r="E4454" s="10">
        <v>75.27</v>
      </c>
      <c r="F4454" s="10"/>
      <c r="G4454" s="10">
        <v>69</v>
      </c>
      <c r="H4454" s="10"/>
      <c r="I4454" s="10">
        <v>71.510000000000005</v>
      </c>
    </row>
    <row r="4455" spans="1:9" s="1" customFormat="1" ht="21.75" customHeight="1">
      <c r="A4455" s="8" t="s">
        <v>28</v>
      </c>
      <c r="B4455" s="8" t="s">
        <v>16</v>
      </c>
      <c r="C4455" s="9" t="str">
        <f t="shared" si="109"/>
        <v>230133</v>
      </c>
      <c r="D4455" s="9" t="str">
        <f>"230909115"</f>
        <v>230909115</v>
      </c>
      <c r="E4455" s="10">
        <v>69.760000000000005</v>
      </c>
      <c r="F4455" s="10"/>
      <c r="G4455" s="10">
        <v>72.5</v>
      </c>
      <c r="H4455" s="10"/>
      <c r="I4455" s="10">
        <v>71.400000000000006</v>
      </c>
    </row>
    <row r="4456" spans="1:9" ht="21.75" customHeight="1">
      <c r="A4456" s="8" t="s">
        <v>28</v>
      </c>
      <c r="B4456" s="8" t="s">
        <v>16</v>
      </c>
      <c r="C4456" s="9" t="str">
        <f t="shared" si="109"/>
        <v>230133</v>
      </c>
      <c r="D4456" s="9" t="str">
        <f>"230909625"</f>
        <v>230909625</v>
      </c>
      <c r="E4456" s="10">
        <v>71.25</v>
      </c>
      <c r="F4456" s="10"/>
      <c r="G4456" s="10">
        <v>71.5</v>
      </c>
      <c r="H4456" s="10"/>
      <c r="I4456" s="10">
        <v>71.400000000000006</v>
      </c>
    </row>
    <row r="4457" spans="1:9" ht="21.75" customHeight="1">
      <c r="A4457" s="8" t="s">
        <v>28</v>
      </c>
      <c r="B4457" s="8" t="s">
        <v>16</v>
      </c>
      <c r="C4457" s="9" t="str">
        <f t="shared" si="109"/>
        <v>230133</v>
      </c>
      <c r="D4457" s="9" t="str">
        <f>"230909722"</f>
        <v>230909722</v>
      </c>
      <c r="E4457" s="10">
        <v>74.239999999999995</v>
      </c>
      <c r="F4457" s="10"/>
      <c r="G4457" s="10">
        <v>69.5</v>
      </c>
      <c r="H4457" s="10"/>
      <c r="I4457" s="10">
        <v>71.400000000000006</v>
      </c>
    </row>
    <row r="4458" spans="1:9" ht="21.75" customHeight="1">
      <c r="A4458" s="8" t="s">
        <v>28</v>
      </c>
      <c r="B4458" s="8" t="s">
        <v>16</v>
      </c>
      <c r="C4458" s="9" t="str">
        <f t="shared" si="109"/>
        <v>230133</v>
      </c>
      <c r="D4458" s="9" t="str">
        <f>"230909429"</f>
        <v>230909429</v>
      </c>
      <c r="E4458" s="10">
        <v>74.91</v>
      </c>
      <c r="F4458" s="10"/>
      <c r="G4458" s="10">
        <v>69</v>
      </c>
      <c r="H4458" s="10"/>
      <c r="I4458" s="10">
        <v>71.36</v>
      </c>
    </row>
    <row r="4459" spans="1:9" ht="21.75" customHeight="1">
      <c r="A4459" s="8" t="s">
        <v>28</v>
      </c>
      <c r="B4459" s="8" t="s">
        <v>16</v>
      </c>
      <c r="C4459" s="9" t="str">
        <f t="shared" si="109"/>
        <v>230133</v>
      </c>
      <c r="D4459" s="9" t="str">
        <f>"230909805"</f>
        <v>230909805</v>
      </c>
      <c r="E4459" s="10">
        <v>70.900000000000006</v>
      </c>
      <c r="F4459" s="10"/>
      <c r="G4459" s="10">
        <v>71.5</v>
      </c>
      <c r="H4459" s="10"/>
      <c r="I4459" s="10">
        <v>71.260000000000005</v>
      </c>
    </row>
    <row r="4460" spans="1:9" s="1" customFormat="1" ht="21.75" customHeight="1">
      <c r="A4460" s="8" t="s">
        <v>28</v>
      </c>
      <c r="B4460" s="8" t="s">
        <v>16</v>
      </c>
      <c r="C4460" s="9" t="str">
        <f t="shared" si="109"/>
        <v>230133</v>
      </c>
      <c r="D4460" s="9" t="str">
        <f>"230909828"</f>
        <v>230909828</v>
      </c>
      <c r="E4460" s="10">
        <v>72.37</v>
      </c>
      <c r="F4460" s="10"/>
      <c r="G4460" s="10">
        <v>70.5</v>
      </c>
      <c r="H4460" s="10"/>
      <c r="I4460" s="10">
        <v>71.25</v>
      </c>
    </row>
    <row r="4461" spans="1:9" ht="21.75" customHeight="1">
      <c r="A4461" s="8" t="s">
        <v>28</v>
      </c>
      <c r="B4461" s="8" t="s">
        <v>16</v>
      </c>
      <c r="C4461" s="9" t="str">
        <f t="shared" si="109"/>
        <v>230133</v>
      </c>
      <c r="D4461" s="9" t="str">
        <f>"230909320"</f>
        <v>230909320</v>
      </c>
      <c r="E4461" s="10">
        <v>73.67</v>
      </c>
      <c r="F4461" s="10"/>
      <c r="G4461" s="10">
        <v>69.5</v>
      </c>
      <c r="H4461" s="10"/>
      <c r="I4461" s="10">
        <v>71.17</v>
      </c>
    </row>
    <row r="4462" spans="1:9" ht="21.75" customHeight="1">
      <c r="A4462" s="8" t="s">
        <v>28</v>
      </c>
      <c r="B4462" s="8" t="s">
        <v>16</v>
      </c>
      <c r="C4462" s="9" t="str">
        <f t="shared" si="109"/>
        <v>230133</v>
      </c>
      <c r="D4462" s="9" t="str">
        <f>"230909116"</f>
        <v>230909116</v>
      </c>
      <c r="E4462" s="10">
        <v>66.88</v>
      </c>
      <c r="F4462" s="10"/>
      <c r="G4462" s="10">
        <v>74</v>
      </c>
      <c r="H4462" s="10"/>
      <c r="I4462" s="10">
        <v>71.150000000000006</v>
      </c>
    </row>
    <row r="4463" spans="1:9" ht="21.75" customHeight="1">
      <c r="A4463" s="8" t="s">
        <v>28</v>
      </c>
      <c r="B4463" s="8" t="s">
        <v>16</v>
      </c>
      <c r="C4463" s="9" t="str">
        <f t="shared" si="109"/>
        <v>230133</v>
      </c>
      <c r="D4463" s="9" t="str">
        <f>"230909517"</f>
        <v>230909517</v>
      </c>
      <c r="E4463" s="10">
        <v>69.06</v>
      </c>
      <c r="F4463" s="10"/>
      <c r="G4463" s="10">
        <v>72.5</v>
      </c>
      <c r="H4463" s="10"/>
      <c r="I4463" s="10">
        <v>71.12</v>
      </c>
    </row>
    <row r="4464" spans="1:9" s="1" customFormat="1" ht="21.75" customHeight="1">
      <c r="A4464" s="8" t="s">
        <v>28</v>
      </c>
      <c r="B4464" s="8" t="s">
        <v>16</v>
      </c>
      <c r="C4464" s="9" t="str">
        <f t="shared" si="109"/>
        <v>230133</v>
      </c>
      <c r="D4464" s="9" t="str">
        <f>"230909129"</f>
        <v>230909129</v>
      </c>
      <c r="E4464" s="10">
        <v>72.739999999999995</v>
      </c>
      <c r="F4464" s="10"/>
      <c r="G4464" s="10">
        <v>70</v>
      </c>
      <c r="H4464" s="10"/>
      <c r="I4464" s="10">
        <v>71.099999999999994</v>
      </c>
    </row>
    <row r="4465" spans="1:9" ht="21.75" customHeight="1">
      <c r="A4465" s="8" t="s">
        <v>28</v>
      </c>
      <c r="B4465" s="8" t="s">
        <v>16</v>
      </c>
      <c r="C4465" s="9" t="str">
        <f t="shared" si="109"/>
        <v>230133</v>
      </c>
      <c r="D4465" s="9" t="str">
        <f>"230909817"</f>
        <v>230909817</v>
      </c>
      <c r="E4465" s="10">
        <v>62.95</v>
      </c>
      <c r="F4465" s="10"/>
      <c r="G4465" s="10">
        <v>76.5</v>
      </c>
      <c r="H4465" s="10"/>
      <c r="I4465" s="10">
        <v>71.08</v>
      </c>
    </row>
    <row r="4466" spans="1:9" ht="21.75" customHeight="1">
      <c r="A4466" s="8" t="s">
        <v>28</v>
      </c>
      <c r="B4466" s="8" t="s">
        <v>16</v>
      </c>
      <c r="C4466" s="9" t="str">
        <f t="shared" si="109"/>
        <v>230133</v>
      </c>
      <c r="D4466" s="9" t="str">
        <f>"230909715"</f>
        <v>230909715</v>
      </c>
      <c r="E4466" s="10">
        <v>66.650000000000006</v>
      </c>
      <c r="F4466" s="10"/>
      <c r="G4466" s="10">
        <v>74</v>
      </c>
      <c r="H4466" s="10"/>
      <c r="I4466" s="10">
        <v>71.06</v>
      </c>
    </row>
    <row r="4467" spans="1:9" ht="21.75" customHeight="1">
      <c r="A4467" s="8" t="s">
        <v>28</v>
      </c>
      <c r="B4467" s="8" t="s">
        <v>16</v>
      </c>
      <c r="C4467" s="9" t="str">
        <f t="shared" si="109"/>
        <v>230133</v>
      </c>
      <c r="D4467" s="9" t="str">
        <f>"230909804"</f>
        <v>230909804</v>
      </c>
      <c r="E4467" s="10">
        <v>70.319999999999993</v>
      </c>
      <c r="F4467" s="10"/>
      <c r="G4467" s="10">
        <v>71.5</v>
      </c>
      <c r="H4467" s="10"/>
      <c r="I4467" s="10">
        <v>71.03</v>
      </c>
    </row>
    <row r="4468" spans="1:9" ht="21.75" customHeight="1">
      <c r="A4468" s="8" t="s">
        <v>28</v>
      </c>
      <c r="B4468" s="8" t="s">
        <v>16</v>
      </c>
      <c r="C4468" s="9" t="str">
        <f t="shared" si="109"/>
        <v>230133</v>
      </c>
      <c r="D4468" s="9" t="str">
        <f>"230909708"</f>
        <v>230909708</v>
      </c>
      <c r="E4468" s="10">
        <v>69.53</v>
      </c>
      <c r="F4468" s="10"/>
      <c r="G4468" s="10">
        <v>72</v>
      </c>
      <c r="H4468" s="10"/>
      <c r="I4468" s="10">
        <v>71.010000000000005</v>
      </c>
    </row>
    <row r="4469" spans="1:9" s="1" customFormat="1" ht="21.75" customHeight="1">
      <c r="A4469" s="8" t="s">
        <v>28</v>
      </c>
      <c r="B4469" s="8" t="s">
        <v>16</v>
      </c>
      <c r="C4469" s="9" t="str">
        <f t="shared" si="109"/>
        <v>230133</v>
      </c>
      <c r="D4469" s="9" t="str">
        <f>"230909714"</f>
        <v>230909714</v>
      </c>
      <c r="E4469" s="10">
        <v>68.7</v>
      </c>
      <c r="F4469" s="10"/>
      <c r="G4469" s="10">
        <v>72.5</v>
      </c>
      <c r="H4469" s="10"/>
      <c r="I4469" s="10">
        <v>70.98</v>
      </c>
    </row>
    <row r="4470" spans="1:9" ht="21.75" customHeight="1">
      <c r="A4470" s="8" t="s">
        <v>28</v>
      </c>
      <c r="B4470" s="8" t="s">
        <v>16</v>
      </c>
      <c r="C4470" s="9" t="str">
        <f t="shared" si="109"/>
        <v>230133</v>
      </c>
      <c r="D4470" s="9" t="str">
        <f>"230909215"</f>
        <v>230909215</v>
      </c>
      <c r="E4470" s="10">
        <v>68.599999999999994</v>
      </c>
      <c r="F4470" s="10"/>
      <c r="G4470" s="10">
        <v>72.5</v>
      </c>
      <c r="H4470" s="10"/>
      <c r="I4470" s="10">
        <v>70.94</v>
      </c>
    </row>
    <row r="4471" spans="1:9" s="1" customFormat="1" ht="21.75" customHeight="1">
      <c r="A4471" s="8" t="s">
        <v>28</v>
      </c>
      <c r="B4471" s="8" t="s">
        <v>16</v>
      </c>
      <c r="C4471" s="9" t="str">
        <f t="shared" si="109"/>
        <v>230133</v>
      </c>
      <c r="D4471" s="9" t="str">
        <f>"230909101"</f>
        <v>230909101</v>
      </c>
      <c r="E4471" s="10">
        <v>73.650000000000006</v>
      </c>
      <c r="F4471" s="10"/>
      <c r="G4471" s="10">
        <v>69</v>
      </c>
      <c r="H4471" s="10"/>
      <c r="I4471" s="10">
        <v>70.86</v>
      </c>
    </row>
    <row r="4472" spans="1:9" s="1" customFormat="1" ht="21.75" customHeight="1">
      <c r="A4472" s="8" t="s">
        <v>28</v>
      </c>
      <c r="B4472" s="8" t="s">
        <v>16</v>
      </c>
      <c r="C4472" s="9" t="str">
        <f t="shared" si="109"/>
        <v>230133</v>
      </c>
      <c r="D4472" s="9" t="str">
        <f>"230909411"</f>
        <v>230909411</v>
      </c>
      <c r="E4472" s="10">
        <v>65.36</v>
      </c>
      <c r="F4472" s="10"/>
      <c r="G4472" s="10">
        <v>74.5</v>
      </c>
      <c r="H4472" s="10"/>
      <c r="I4472" s="10">
        <v>70.84</v>
      </c>
    </row>
    <row r="4473" spans="1:9" ht="21.75" customHeight="1">
      <c r="A4473" s="8" t="s">
        <v>28</v>
      </c>
      <c r="B4473" s="8" t="s">
        <v>16</v>
      </c>
      <c r="C4473" s="9" t="str">
        <f t="shared" si="109"/>
        <v>230133</v>
      </c>
      <c r="D4473" s="9" t="str">
        <f>"230909526"</f>
        <v>230909526</v>
      </c>
      <c r="E4473" s="10">
        <v>69.05</v>
      </c>
      <c r="F4473" s="10"/>
      <c r="G4473" s="10">
        <v>72</v>
      </c>
      <c r="H4473" s="10"/>
      <c r="I4473" s="10">
        <v>70.819999999999993</v>
      </c>
    </row>
    <row r="4474" spans="1:9" ht="21.75" customHeight="1">
      <c r="A4474" s="8" t="s">
        <v>28</v>
      </c>
      <c r="B4474" s="8" t="s">
        <v>16</v>
      </c>
      <c r="C4474" s="9" t="str">
        <f t="shared" si="109"/>
        <v>230133</v>
      </c>
      <c r="D4474" s="9" t="str">
        <f>"230909530"</f>
        <v>230909530</v>
      </c>
      <c r="E4474" s="10">
        <v>64.11</v>
      </c>
      <c r="F4474" s="10"/>
      <c r="G4474" s="10">
        <v>75</v>
      </c>
      <c r="H4474" s="10"/>
      <c r="I4474" s="10">
        <v>70.64</v>
      </c>
    </row>
    <row r="4475" spans="1:9" s="1" customFormat="1" ht="21.75" customHeight="1">
      <c r="A4475" s="8" t="s">
        <v>28</v>
      </c>
      <c r="B4475" s="8" t="s">
        <v>16</v>
      </c>
      <c r="C4475" s="9" t="str">
        <f t="shared" si="109"/>
        <v>230133</v>
      </c>
      <c r="D4475" s="9" t="str">
        <f>"230909515"</f>
        <v>230909515</v>
      </c>
      <c r="E4475" s="10">
        <v>70.78</v>
      </c>
      <c r="F4475" s="10"/>
      <c r="G4475" s="10">
        <v>70.5</v>
      </c>
      <c r="H4475" s="10"/>
      <c r="I4475" s="10">
        <v>70.61</v>
      </c>
    </row>
    <row r="4476" spans="1:9" ht="21.75" customHeight="1">
      <c r="A4476" s="8" t="s">
        <v>28</v>
      </c>
      <c r="B4476" s="8" t="s">
        <v>16</v>
      </c>
      <c r="C4476" s="9" t="str">
        <f t="shared" si="109"/>
        <v>230133</v>
      </c>
      <c r="D4476" s="9" t="str">
        <f>"230909109"</f>
        <v>230909109</v>
      </c>
      <c r="E4476" s="10">
        <v>74.260000000000005</v>
      </c>
      <c r="F4476" s="10"/>
      <c r="G4476" s="10">
        <v>68</v>
      </c>
      <c r="H4476" s="10"/>
      <c r="I4476" s="10">
        <v>70.5</v>
      </c>
    </row>
    <row r="4477" spans="1:9" ht="21.75" customHeight="1">
      <c r="A4477" s="8" t="s">
        <v>28</v>
      </c>
      <c r="B4477" s="8" t="s">
        <v>16</v>
      </c>
      <c r="C4477" s="9" t="str">
        <f t="shared" si="109"/>
        <v>230133</v>
      </c>
      <c r="D4477" s="9" t="str">
        <f>"230909026"</f>
        <v>230909026</v>
      </c>
      <c r="E4477" s="10">
        <v>64.44</v>
      </c>
      <c r="F4477" s="10"/>
      <c r="G4477" s="10">
        <v>74.5</v>
      </c>
      <c r="H4477" s="10"/>
      <c r="I4477" s="10">
        <v>70.48</v>
      </c>
    </row>
    <row r="4478" spans="1:9" ht="21.75" customHeight="1">
      <c r="A4478" s="8" t="s">
        <v>28</v>
      </c>
      <c r="B4478" s="8" t="s">
        <v>16</v>
      </c>
      <c r="C4478" s="9" t="str">
        <f t="shared" si="109"/>
        <v>230133</v>
      </c>
      <c r="D4478" s="9" t="str">
        <f>"230909528"</f>
        <v>230909528</v>
      </c>
      <c r="E4478" s="10">
        <v>71.13</v>
      </c>
      <c r="F4478" s="10"/>
      <c r="G4478" s="10">
        <v>70</v>
      </c>
      <c r="H4478" s="10"/>
      <c r="I4478" s="10">
        <v>70.45</v>
      </c>
    </row>
    <row r="4479" spans="1:9" ht="21.75" customHeight="1">
      <c r="A4479" s="8" t="s">
        <v>28</v>
      </c>
      <c r="B4479" s="8" t="s">
        <v>16</v>
      </c>
      <c r="C4479" s="9" t="str">
        <f t="shared" si="109"/>
        <v>230133</v>
      </c>
      <c r="D4479" s="9" t="str">
        <f>"230909729"</f>
        <v>230909729</v>
      </c>
      <c r="E4479" s="10">
        <v>73.98</v>
      </c>
      <c r="F4479" s="10"/>
      <c r="G4479" s="10">
        <v>68</v>
      </c>
      <c r="H4479" s="10"/>
      <c r="I4479" s="10">
        <v>70.39</v>
      </c>
    </row>
    <row r="4480" spans="1:9" s="1" customFormat="1" ht="21.75" customHeight="1">
      <c r="A4480" s="8" t="s">
        <v>28</v>
      </c>
      <c r="B4480" s="8" t="s">
        <v>16</v>
      </c>
      <c r="C4480" s="9" t="str">
        <f t="shared" si="109"/>
        <v>230133</v>
      </c>
      <c r="D4480" s="9" t="str">
        <f>"230909016"</f>
        <v>230909016</v>
      </c>
      <c r="E4480" s="10">
        <v>71.260000000000005</v>
      </c>
      <c r="F4480" s="10"/>
      <c r="G4480" s="10">
        <v>69.5</v>
      </c>
      <c r="H4480" s="10"/>
      <c r="I4480" s="10">
        <v>70.2</v>
      </c>
    </row>
    <row r="4481" spans="1:9" ht="21.75" customHeight="1">
      <c r="A4481" s="8" t="s">
        <v>28</v>
      </c>
      <c r="B4481" s="8" t="s">
        <v>16</v>
      </c>
      <c r="C4481" s="9" t="str">
        <f t="shared" si="109"/>
        <v>230133</v>
      </c>
      <c r="D4481" s="9" t="str">
        <f>"230909122"</f>
        <v>230909122</v>
      </c>
      <c r="E4481" s="10">
        <v>65.14</v>
      </c>
      <c r="F4481" s="10"/>
      <c r="G4481" s="10">
        <v>73.5</v>
      </c>
      <c r="H4481" s="10"/>
      <c r="I4481" s="10">
        <v>70.16</v>
      </c>
    </row>
    <row r="4482" spans="1:9" s="1" customFormat="1" ht="21.75" customHeight="1">
      <c r="A4482" s="8" t="s">
        <v>28</v>
      </c>
      <c r="B4482" s="8" t="s">
        <v>16</v>
      </c>
      <c r="C4482" s="9" t="str">
        <f t="shared" si="109"/>
        <v>230133</v>
      </c>
      <c r="D4482" s="9" t="str">
        <f>"230909310"</f>
        <v>230909310</v>
      </c>
      <c r="E4482" s="10">
        <v>66.98</v>
      </c>
      <c r="F4482" s="10"/>
      <c r="G4482" s="10">
        <v>72</v>
      </c>
      <c r="H4482" s="10"/>
      <c r="I4482" s="10">
        <v>69.989999999999995</v>
      </c>
    </row>
    <row r="4483" spans="1:9" ht="21.75" customHeight="1">
      <c r="A4483" s="8" t="s">
        <v>28</v>
      </c>
      <c r="B4483" s="8" t="s">
        <v>16</v>
      </c>
      <c r="C4483" s="9" t="str">
        <f t="shared" si="109"/>
        <v>230133</v>
      </c>
      <c r="D4483" s="9" t="str">
        <f>"230909417"</f>
        <v>230909417</v>
      </c>
      <c r="E4483" s="10">
        <v>69.98</v>
      </c>
      <c r="F4483" s="10"/>
      <c r="G4483" s="10">
        <v>70</v>
      </c>
      <c r="H4483" s="10"/>
      <c r="I4483" s="10">
        <v>69.989999999999995</v>
      </c>
    </row>
    <row r="4484" spans="1:9" ht="21.75" customHeight="1">
      <c r="A4484" s="8" t="s">
        <v>28</v>
      </c>
      <c r="B4484" s="8" t="s">
        <v>16</v>
      </c>
      <c r="C4484" s="9" t="str">
        <f t="shared" si="109"/>
        <v>230133</v>
      </c>
      <c r="D4484" s="9" t="str">
        <f>"230909614"</f>
        <v>230909614</v>
      </c>
      <c r="E4484" s="10">
        <v>69.17</v>
      </c>
      <c r="F4484" s="10"/>
      <c r="G4484" s="10">
        <v>70.5</v>
      </c>
      <c r="H4484" s="10"/>
      <c r="I4484" s="10">
        <v>69.97</v>
      </c>
    </row>
    <row r="4485" spans="1:9" ht="21.75" customHeight="1">
      <c r="A4485" s="8" t="s">
        <v>28</v>
      </c>
      <c r="B4485" s="8" t="s">
        <v>16</v>
      </c>
      <c r="C4485" s="9" t="str">
        <f t="shared" si="109"/>
        <v>230133</v>
      </c>
      <c r="D4485" s="9" t="str">
        <f>"230909818"</f>
        <v>230909818</v>
      </c>
      <c r="E4485" s="10">
        <v>82.39</v>
      </c>
      <c r="F4485" s="10"/>
      <c r="G4485" s="10">
        <v>61.5</v>
      </c>
      <c r="H4485" s="10"/>
      <c r="I4485" s="10">
        <v>69.86</v>
      </c>
    </row>
    <row r="4486" spans="1:9" ht="21.75" customHeight="1">
      <c r="A4486" s="8" t="s">
        <v>28</v>
      </c>
      <c r="B4486" s="8" t="s">
        <v>16</v>
      </c>
      <c r="C4486" s="9" t="str">
        <f t="shared" ref="C4486:C4549" si="110">"230133"</f>
        <v>230133</v>
      </c>
      <c r="D4486" s="9" t="str">
        <f>"230909121"</f>
        <v>230909121</v>
      </c>
      <c r="E4486" s="10">
        <v>62.5</v>
      </c>
      <c r="F4486" s="10"/>
      <c r="G4486" s="10">
        <v>74.5</v>
      </c>
      <c r="H4486" s="10"/>
      <c r="I4486" s="10">
        <v>69.7</v>
      </c>
    </row>
    <row r="4487" spans="1:9" ht="21.75" customHeight="1">
      <c r="A4487" s="8" t="s">
        <v>28</v>
      </c>
      <c r="B4487" s="8" t="s">
        <v>16</v>
      </c>
      <c r="C4487" s="9" t="str">
        <f t="shared" si="110"/>
        <v>230133</v>
      </c>
      <c r="D4487" s="9" t="str">
        <f>"230909117"</f>
        <v>230909117</v>
      </c>
      <c r="E4487" s="10">
        <v>68.47</v>
      </c>
      <c r="F4487" s="10"/>
      <c r="G4487" s="10">
        <v>70.5</v>
      </c>
      <c r="H4487" s="10"/>
      <c r="I4487" s="10">
        <v>69.69</v>
      </c>
    </row>
    <row r="4488" spans="1:9" s="1" customFormat="1" ht="21.75" customHeight="1">
      <c r="A4488" s="8" t="s">
        <v>28</v>
      </c>
      <c r="B4488" s="8" t="s">
        <v>16</v>
      </c>
      <c r="C4488" s="9" t="str">
        <f t="shared" si="110"/>
        <v>230133</v>
      </c>
      <c r="D4488" s="9" t="str">
        <f>"230909503"</f>
        <v>230909503</v>
      </c>
      <c r="E4488" s="10">
        <v>60.9</v>
      </c>
      <c r="F4488" s="10"/>
      <c r="G4488" s="10">
        <v>75.5</v>
      </c>
      <c r="H4488" s="10"/>
      <c r="I4488" s="10">
        <v>69.66</v>
      </c>
    </row>
    <row r="4489" spans="1:9" s="1" customFormat="1" ht="21.75" customHeight="1">
      <c r="A4489" s="8" t="s">
        <v>28</v>
      </c>
      <c r="B4489" s="8" t="s">
        <v>16</v>
      </c>
      <c r="C4489" s="9" t="str">
        <f t="shared" si="110"/>
        <v>230133</v>
      </c>
      <c r="D4489" s="9" t="str">
        <f>"230909318"</f>
        <v>230909318</v>
      </c>
      <c r="E4489" s="10">
        <v>66.75</v>
      </c>
      <c r="F4489" s="10"/>
      <c r="G4489" s="10">
        <v>71.5</v>
      </c>
      <c r="H4489" s="10"/>
      <c r="I4489" s="10">
        <v>69.599999999999994</v>
      </c>
    </row>
    <row r="4490" spans="1:9" ht="21.75" customHeight="1">
      <c r="A4490" s="8" t="s">
        <v>28</v>
      </c>
      <c r="B4490" s="8" t="s">
        <v>16</v>
      </c>
      <c r="C4490" s="9" t="str">
        <f t="shared" si="110"/>
        <v>230133</v>
      </c>
      <c r="D4490" s="9" t="str">
        <f>"230909321"</f>
        <v>230909321</v>
      </c>
      <c r="E4490" s="10">
        <v>71.239999999999995</v>
      </c>
      <c r="F4490" s="10"/>
      <c r="G4490" s="10">
        <v>68.5</v>
      </c>
      <c r="H4490" s="10"/>
      <c r="I4490" s="10">
        <v>69.599999999999994</v>
      </c>
    </row>
    <row r="4491" spans="1:9" ht="21.75" customHeight="1">
      <c r="A4491" s="8" t="s">
        <v>28</v>
      </c>
      <c r="B4491" s="8" t="s">
        <v>16</v>
      </c>
      <c r="C4491" s="9" t="str">
        <f t="shared" si="110"/>
        <v>230133</v>
      </c>
      <c r="D4491" s="9" t="str">
        <f>"230909205"</f>
        <v>230909205</v>
      </c>
      <c r="E4491" s="10">
        <v>72.73</v>
      </c>
      <c r="F4491" s="10"/>
      <c r="G4491" s="10">
        <v>67.5</v>
      </c>
      <c r="H4491" s="10"/>
      <c r="I4491" s="10">
        <v>69.59</v>
      </c>
    </row>
    <row r="4492" spans="1:9" s="1" customFormat="1" ht="21.75" customHeight="1">
      <c r="A4492" s="8" t="s">
        <v>28</v>
      </c>
      <c r="B4492" s="8" t="s">
        <v>16</v>
      </c>
      <c r="C4492" s="9" t="str">
        <f t="shared" si="110"/>
        <v>230133</v>
      </c>
      <c r="D4492" s="9" t="str">
        <f>"230909223"</f>
        <v>230909223</v>
      </c>
      <c r="E4492" s="10">
        <v>60.45</v>
      </c>
      <c r="F4492" s="10"/>
      <c r="G4492" s="10">
        <v>75.5</v>
      </c>
      <c r="H4492" s="10"/>
      <c r="I4492" s="10">
        <v>69.48</v>
      </c>
    </row>
    <row r="4493" spans="1:9" ht="21.75" customHeight="1">
      <c r="A4493" s="8" t="s">
        <v>28</v>
      </c>
      <c r="B4493" s="8" t="s">
        <v>16</v>
      </c>
      <c r="C4493" s="9" t="str">
        <f t="shared" si="110"/>
        <v>230133</v>
      </c>
      <c r="D4493" s="9" t="str">
        <f>"230909230"</f>
        <v>230909230</v>
      </c>
      <c r="E4493" s="10">
        <v>69.400000000000006</v>
      </c>
      <c r="F4493" s="10"/>
      <c r="G4493" s="10">
        <v>69.5</v>
      </c>
      <c r="H4493" s="10"/>
      <c r="I4493" s="10">
        <v>69.459999999999994</v>
      </c>
    </row>
    <row r="4494" spans="1:9" ht="21.75" customHeight="1">
      <c r="A4494" s="8" t="s">
        <v>28</v>
      </c>
      <c r="B4494" s="8" t="s">
        <v>16</v>
      </c>
      <c r="C4494" s="9" t="str">
        <f t="shared" si="110"/>
        <v>230133</v>
      </c>
      <c r="D4494" s="9" t="str">
        <f>"230909412"</f>
        <v>230909412</v>
      </c>
      <c r="E4494" s="10">
        <v>64.900000000000006</v>
      </c>
      <c r="F4494" s="10"/>
      <c r="G4494" s="10">
        <v>72.5</v>
      </c>
      <c r="H4494" s="10"/>
      <c r="I4494" s="10">
        <v>69.459999999999994</v>
      </c>
    </row>
    <row r="4495" spans="1:9" s="1" customFormat="1" ht="21.75" customHeight="1">
      <c r="A4495" s="8" t="s">
        <v>28</v>
      </c>
      <c r="B4495" s="8" t="s">
        <v>16</v>
      </c>
      <c r="C4495" s="9" t="str">
        <f t="shared" si="110"/>
        <v>230133</v>
      </c>
      <c r="D4495" s="9" t="str">
        <f>"230909309"</f>
        <v>230909309</v>
      </c>
      <c r="E4495" s="10">
        <v>61.11</v>
      </c>
      <c r="F4495" s="10"/>
      <c r="G4495" s="10">
        <v>75</v>
      </c>
      <c r="H4495" s="10"/>
      <c r="I4495" s="10">
        <v>69.44</v>
      </c>
    </row>
    <row r="4496" spans="1:9" ht="21.75" customHeight="1">
      <c r="A4496" s="8" t="s">
        <v>28</v>
      </c>
      <c r="B4496" s="8" t="s">
        <v>16</v>
      </c>
      <c r="C4496" s="9" t="str">
        <f t="shared" si="110"/>
        <v>230133</v>
      </c>
      <c r="D4496" s="9" t="str">
        <f>"230909106"</f>
        <v>230909106</v>
      </c>
      <c r="E4496" s="10">
        <v>66.319999999999993</v>
      </c>
      <c r="F4496" s="10"/>
      <c r="G4496" s="10">
        <v>71.5</v>
      </c>
      <c r="H4496" s="10"/>
      <c r="I4496" s="10">
        <v>69.430000000000007</v>
      </c>
    </row>
    <row r="4497" spans="1:9" s="1" customFormat="1" ht="21.75" customHeight="1">
      <c r="A4497" s="8" t="s">
        <v>28</v>
      </c>
      <c r="B4497" s="8" t="s">
        <v>16</v>
      </c>
      <c r="C4497" s="9" t="str">
        <f t="shared" si="110"/>
        <v>230133</v>
      </c>
      <c r="D4497" s="9" t="str">
        <f>"230909419"</f>
        <v>230909419</v>
      </c>
      <c r="E4497" s="10">
        <v>70.66</v>
      </c>
      <c r="F4497" s="10"/>
      <c r="G4497" s="10">
        <v>68</v>
      </c>
      <c r="H4497" s="10"/>
      <c r="I4497" s="10">
        <v>69.06</v>
      </c>
    </row>
    <row r="4498" spans="1:9" ht="21.75" customHeight="1">
      <c r="A4498" s="8" t="s">
        <v>28</v>
      </c>
      <c r="B4498" s="8" t="s">
        <v>16</v>
      </c>
      <c r="C4498" s="9" t="str">
        <f t="shared" si="110"/>
        <v>230133</v>
      </c>
      <c r="D4498" s="9" t="str">
        <f>"230909105"</f>
        <v>230909105</v>
      </c>
      <c r="E4498" s="10">
        <v>60.31</v>
      </c>
      <c r="F4498" s="10"/>
      <c r="G4498" s="10">
        <v>74.5</v>
      </c>
      <c r="H4498" s="10"/>
      <c r="I4498" s="10">
        <v>68.819999999999993</v>
      </c>
    </row>
    <row r="4499" spans="1:9" ht="21.75" customHeight="1">
      <c r="A4499" s="8" t="s">
        <v>28</v>
      </c>
      <c r="B4499" s="8" t="s">
        <v>16</v>
      </c>
      <c r="C4499" s="9" t="str">
        <f t="shared" si="110"/>
        <v>230133</v>
      </c>
      <c r="D4499" s="9" t="str">
        <f>"230909304"</f>
        <v>230909304</v>
      </c>
      <c r="E4499" s="10">
        <v>61.49</v>
      </c>
      <c r="F4499" s="10"/>
      <c r="G4499" s="10">
        <v>73.5</v>
      </c>
      <c r="H4499" s="10"/>
      <c r="I4499" s="10">
        <v>68.7</v>
      </c>
    </row>
    <row r="4500" spans="1:9" s="1" customFormat="1" ht="21.75" customHeight="1">
      <c r="A4500" s="8" t="s">
        <v>28</v>
      </c>
      <c r="B4500" s="8" t="s">
        <v>16</v>
      </c>
      <c r="C4500" s="9" t="str">
        <f t="shared" si="110"/>
        <v>230133</v>
      </c>
      <c r="D4500" s="9" t="str">
        <f>"230909217"</f>
        <v>230909217</v>
      </c>
      <c r="E4500" s="10">
        <v>62.94</v>
      </c>
      <c r="F4500" s="10"/>
      <c r="G4500" s="10">
        <v>72.5</v>
      </c>
      <c r="H4500" s="10"/>
      <c r="I4500" s="10">
        <v>68.680000000000007</v>
      </c>
    </row>
    <row r="4501" spans="1:9" ht="21.75" customHeight="1">
      <c r="A4501" s="8" t="s">
        <v>28</v>
      </c>
      <c r="B4501" s="8" t="s">
        <v>16</v>
      </c>
      <c r="C4501" s="9" t="str">
        <f t="shared" si="110"/>
        <v>230133</v>
      </c>
      <c r="D4501" s="9" t="str">
        <f>"230909307"</f>
        <v>230909307</v>
      </c>
      <c r="E4501" s="10">
        <v>68.930000000000007</v>
      </c>
      <c r="F4501" s="10"/>
      <c r="G4501" s="10">
        <v>68.5</v>
      </c>
      <c r="H4501" s="10"/>
      <c r="I4501" s="10">
        <v>68.67</v>
      </c>
    </row>
    <row r="4502" spans="1:9" s="1" customFormat="1" ht="21.75" customHeight="1">
      <c r="A4502" s="8" t="s">
        <v>28</v>
      </c>
      <c r="B4502" s="8" t="s">
        <v>16</v>
      </c>
      <c r="C4502" s="9" t="str">
        <f t="shared" si="110"/>
        <v>230133</v>
      </c>
      <c r="D4502" s="9" t="str">
        <f>"230909206"</f>
        <v>230909206</v>
      </c>
      <c r="E4502" s="10">
        <v>70.2</v>
      </c>
      <c r="F4502" s="10"/>
      <c r="G4502" s="10">
        <v>67</v>
      </c>
      <c r="H4502" s="10"/>
      <c r="I4502" s="10">
        <v>68.28</v>
      </c>
    </row>
    <row r="4503" spans="1:9" ht="21.75" customHeight="1">
      <c r="A4503" s="8" t="s">
        <v>28</v>
      </c>
      <c r="B4503" s="8" t="s">
        <v>16</v>
      </c>
      <c r="C4503" s="9" t="str">
        <f t="shared" si="110"/>
        <v>230133</v>
      </c>
      <c r="D4503" s="9" t="str">
        <f>"230909616"</f>
        <v>230909616</v>
      </c>
      <c r="E4503" s="10">
        <v>70.209999999999994</v>
      </c>
      <c r="F4503" s="10"/>
      <c r="G4503" s="10">
        <v>67</v>
      </c>
      <c r="H4503" s="10"/>
      <c r="I4503" s="10">
        <v>68.28</v>
      </c>
    </row>
    <row r="4504" spans="1:9" ht="21.75" customHeight="1">
      <c r="A4504" s="8" t="s">
        <v>28</v>
      </c>
      <c r="B4504" s="8" t="s">
        <v>16</v>
      </c>
      <c r="C4504" s="9" t="str">
        <f t="shared" si="110"/>
        <v>230133</v>
      </c>
      <c r="D4504" s="9" t="str">
        <f>"230909317"</f>
        <v>230909317</v>
      </c>
      <c r="E4504" s="10">
        <v>61.1</v>
      </c>
      <c r="F4504" s="10"/>
      <c r="G4504" s="10">
        <v>72.5</v>
      </c>
      <c r="H4504" s="10"/>
      <c r="I4504" s="10">
        <v>67.94</v>
      </c>
    </row>
    <row r="4505" spans="1:9" ht="21.75" customHeight="1">
      <c r="A4505" s="8" t="s">
        <v>28</v>
      </c>
      <c r="B4505" s="8" t="s">
        <v>16</v>
      </c>
      <c r="C4505" s="9" t="str">
        <f t="shared" si="110"/>
        <v>230133</v>
      </c>
      <c r="D4505" s="9" t="str">
        <f>"230909314"</f>
        <v>230909314</v>
      </c>
      <c r="E4505" s="10">
        <v>68.489999999999995</v>
      </c>
      <c r="F4505" s="10"/>
      <c r="G4505" s="10">
        <v>67.5</v>
      </c>
      <c r="H4505" s="10"/>
      <c r="I4505" s="10">
        <v>67.900000000000006</v>
      </c>
    </row>
    <row r="4506" spans="1:9" s="1" customFormat="1" ht="21.75" customHeight="1">
      <c r="A4506" s="8" t="s">
        <v>28</v>
      </c>
      <c r="B4506" s="8" t="s">
        <v>16</v>
      </c>
      <c r="C4506" s="9" t="str">
        <f t="shared" si="110"/>
        <v>230133</v>
      </c>
      <c r="D4506" s="9" t="str">
        <f>"230909404"</f>
        <v>230909404</v>
      </c>
      <c r="E4506" s="10">
        <v>61.46</v>
      </c>
      <c r="F4506" s="10"/>
      <c r="G4506" s="10">
        <v>72</v>
      </c>
      <c r="H4506" s="10"/>
      <c r="I4506" s="10">
        <v>67.78</v>
      </c>
    </row>
    <row r="4507" spans="1:9" s="1" customFormat="1" ht="21.75" customHeight="1">
      <c r="A4507" s="8" t="s">
        <v>28</v>
      </c>
      <c r="B4507" s="8" t="s">
        <v>16</v>
      </c>
      <c r="C4507" s="9" t="str">
        <f t="shared" si="110"/>
        <v>230133</v>
      </c>
      <c r="D4507" s="9" t="str">
        <f>"230909612"</f>
        <v>230909612</v>
      </c>
      <c r="E4507" s="10">
        <v>57.56</v>
      </c>
      <c r="F4507" s="10"/>
      <c r="G4507" s="10">
        <v>74.5</v>
      </c>
      <c r="H4507" s="10"/>
      <c r="I4507" s="10">
        <v>67.72</v>
      </c>
    </row>
    <row r="4508" spans="1:9" ht="21.75" customHeight="1">
      <c r="A4508" s="8" t="s">
        <v>28</v>
      </c>
      <c r="B4508" s="8" t="s">
        <v>16</v>
      </c>
      <c r="C4508" s="9" t="str">
        <f t="shared" si="110"/>
        <v>230133</v>
      </c>
      <c r="D4508" s="9" t="str">
        <f>"230909312"</f>
        <v>230909312</v>
      </c>
      <c r="E4508" s="10">
        <v>73.180000000000007</v>
      </c>
      <c r="F4508" s="10"/>
      <c r="G4508" s="10">
        <v>64</v>
      </c>
      <c r="H4508" s="10"/>
      <c r="I4508" s="10">
        <v>67.67</v>
      </c>
    </row>
    <row r="4509" spans="1:9" s="1" customFormat="1" ht="21.75" customHeight="1">
      <c r="A4509" s="8" t="s">
        <v>28</v>
      </c>
      <c r="B4509" s="8" t="s">
        <v>16</v>
      </c>
      <c r="C4509" s="9" t="str">
        <f t="shared" si="110"/>
        <v>230133</v>
      </c>
      <c r="D4509" s="9" t="str">
        <f>"230909812"</f>
        <v>230909812</v>
      </c>
      <c r="E4509" s="10">
        <v>61.92</v>
      </c>
      <c r="F4509" s="10"/>
      <c r="G4509" s="10">
        <v>71.5</v>
      </c>
      <c r="H4509" s="10"/>
      <c r="I4509" s="10">
        <v>67.67</v>
      </c>
    </row>
    <row r="4510" spans="1:9" ht="21.75" customHeight="1">
      <c r="A4510" s="8" t="s">
        <v>28</v>
      </c>
      <c r="B4510" s="8" t="s">
        <v>16</v>
      </c>
      <c r="C4510" s="9" t="str">
        <f t="shared" si="110"/>
        <v>230133</v>
      </c>
      <c r="D4510" s="9" t="str">
        <f>"230909416"</f>
        <v>230909416</v>
      </c>
      <c r="E4510" s="10">
        <v>59.97</v>
      </c>
      <c r="F4510" s="10"/>
      <c r="G4510" s="10">
        <v>72.5</v>
      </c>
      <c r="H4510" s="10"/>
      <c r="I4510" s="10">
        <v>67.489999999999995</v>
      </c>
    </row>
    <row r="4511" spans="1:9" s="1" customFormat="1" ht="21.75" customHeight="1">
      <c r="A4511" s="8" t="s">
        <v>28</v>
      </c>
      <c r="B4511" s="8" t="s">
        <v>16</v>
      </c>
      <c r="C4511" s="9" t="str">
        <f t="shared" si="110"/>
        <v>230133</v>
      </c>
      <c r="D4511" s="9" t="str">
        <f>"230909422"</f>
        <v>230909422</v>
      </c>
      <c r="E4511" s="10">
        <v>65.83</v>
      </c>
      <c r="F4511" s="10"/>
      <c r="G4511" s="10">
        <v>68.5</v>
      </c>
      <c r="H4511" s="10"/>
      <c r="I4511" s="10">
        <v>67.430000000000007</v>
      </c>
    </row>
    <row r="4512" spans="1:9" ht="21.75" customHeight="1">
      <c r="A4512" s="8" t="s">
        <v>28</v>
      </c>
      <c r="B4512" s="8" t="s">
        <v>16</v>
      </c>
      <c r="C4512" s="9" t="str">
        <f t="shared" si="110"/>
        <v>230133</v>
      </c>
      <c r="D4512" s="9" t="str">
        <f>"230909211"</f>
        <v>230909211</v>
      </c>
      <c r="E4512" s="10">
        <v>75.150000000000006</v>
      </c>
      <c r="F4512" s="10"/>
      <c r="G4512" s="10">
        <v>62</v>
      </c>
      <c r="H4512" s="10"/>
      <c r="I4512" s="10">
        <v>67.260000000000005</v>
      </c>
    </row>
    <row r="4513" spans="1:9" ht="21.75" customHeight="1">
      <c r="A4513" s="8" t="s">
        <v>28</v>
      </c>
      <c r="B4513" s="8" t="s">
        <v>16</v>
      </c>
      <c r="C4513" s="9" t="str">
        <f t="shared" si="110"/>
        <v>230133</v>
      </c>
      <c r="D4513" s="9" t="str">
        <f>"230909227"</f>
        <v>230909227</v>
      </c>
      <c r="E4513" s="10">
        <v>62.4</v>
      </c>
      <c r="F4513" s="10"/>
      <c r="G4513" s="10">
        <v>70.5</v>
      </c>
      <c r="H4513" s="10"/>
      <c r="I4513" s="10">
        <v>67.260000000000005</v>
      </c>
    </row>
    <row r="4514" spans="1:9" s="1" customFormat="1" ht="21.75" customHeight="1">
      <c r="A4514" s="8" t="s">
        <v>28</v>
      </c>
      <c r="B4514" s="8" t="s">
        <v>16</v>
      </c>
      <c r="C4514" s="9" t="str">
        <f t="shared" si="110"/>
        <v>230133</v>
      </c>
      <c r="D4514" s="9" t="str">
        <f>"230909520"</f>
        <v>230909520</v>
      </c>
      <c r="E4514" s="10">
        <v>60.1</v>
      </c>
      <c r="F4514" s="10"/>
      <c r="G4514" s="10">
        <v>71.5</v>
      </c>
      <c r="H4514" s="10"/>
      <c r="I4514" s="10">
        <v>66.94</v>
      </c>
    </row>
    <row r="4515" spans="1:9" ht="21.75" customHeight="1">
      <c r="A4515" s="8" t="s">
        <v>28</v>
      </c>
      <c r="B4515" s="8" t="s">
        <v>16</v>
      </c>
      <c r="C4515" s="9" t="str">
        <f t="shared" si="110"/>
        <v>230133</v>
      </c>
      <c r="D4515" s="9" t="str">
        <f>"230909607"</f>
        <v>230909607</v>
      </c>
      <c r="E4515" s="10">
        <v>66.069999999999993</v>
      </c>
      <c r="F4515" s="10"/>
      <c r="G4515" s="10">
        <v>67</v>
      </c>
      <c r="H4515" s="10"/>
      <c r="I4515" s="10">
        <v>66.63</v>
      </c>
    </row>
    <row r="4516" spans="1:9" ht="21.75" customHeight="1">
      <c r="A4516" s="8" t="s">
        <v>28</v>
      </c>
      <c r="B4516" s="8" t="s">
        <v>16</v>
      </c>
      <c r="C4516" s="9" t="str">
        <f t="shared" si="110"/>
        <v>230133</v>
      </c>
      <c r="D4516" s="9" t="str">
        <f>"230909327"</f>
        <v>230909327</v>
      </c>
      <c r="E4516" s="10">
        <v>65.14</v>
      </c>
      <c r="F4516" s="10"/>
      <c r="G4516" s="10">
        <v>67.5</v>
      </c>
      <c r="H4516" s="10"/>
      <c r="I4516" s="10">
        <v>66.56</v>
      </c>
    </row>
    <row r="4517" spans="1:9" ht="21.75" customHeight="1">
      <c r="A4517" s="8" t="s">
        <v>28</v>
      </c>
      <c r="B4517" s="8" t="s">
        <v>16</v>
      </c>
      <c r="C4517" s="9" t="str">
        <f t="shared" si="110"/>
        <v>230133</v>
      </c>
      <c r="D4517" s="9" t="str">
        <f>"230909630"</f>
        <v>230909630</v>
      </c>
      <c r="E4517" s="10">
        <v>64.099999999999994</v>
      </c>
      <c r="F4517" s="10"/>
      <c r="G4517" s="10">
        <v>68</v>
      </c>
      <c r="H4517" s="10"/>
      <c r="I4517" s="10">
        <v>66.44</v>
      </c>
    </row>
    <row r="4518" spans="1:9" ht="21.75" customHeight="1">
      <c r="A4518" s="8" t="s">
        <v>28</v>
      </c>
      <c r="B4518" s="8" t="s">
        <v>16</v>
      </c>
      <c r="C4518" s="9" t="str">
        <f t="shared" si="110"/>
        <v>230133</v>
      </c>
      <c r="D4518" s="9" t="str">
        <f>"230909621"</f>
        <v>230909621</v>
      </c>
      <c r="E4518" s="10">
        <v>67.91</v>
      </c>
      <c r="F4518" s="10"/>
      <c r="G4518" s="10">
        <v>65</v>
      </c>
      <c r="H4518" s="10"/>
      <c r="I4518" s="10">
        <v>66.16</v>
      </c>
    </row>
    <row r="4519" spans="1:9" ht="21.75" customHeight="1">
      <c r="A4519" s="8" t="s">
        <v>28</v>
      </c>
      <c r="B4519" s="8" t="s">
        <v>16</v>
      </c>
      <c r="C4519" s="9" t="str">
        <f t="shared" si="110"/>
        <v>230133</v>
      </c>
      <c r="D4519" s="9" t="str">
        <f>"230909018"</f>
        <v>230909018</v>
      </c>
      <c r="E4519" s="10">
        <v>66.87</v>
      </c>
      <c r="F4519" s="10"/>
      <c r="G4519" s="10">
        <v>65.5</v>
      </c>
      <c r="H4519" s="10"/>
      <c r="I4519" s="10">
        <v>66.05</v>
      </c>
    </row>
    <row r="4520" spans="1:9" s="1" customFormat="1" ht="21.75" customHeight="1">
      <c r="A4520" s="8" t="s">
        <v>28</v>
      </c>
      <c r="B4520" s="8" t="s">
        <v>16</v>
      </c>
      <c r="C4520" s="9" t="str">
        <f t="shared" si="110"/>
        <v>230133</v>
      </c>
      <c r="D4520" s="9" t="str">
        <f>"230909506"</f>
        <v>230909506</v>
      </c>
      <c r="E4520" s="10">
        <v>64.44</v>
      </c>
      <c r="F4520" s="10"/>
      <c r="G4520" s="10">
        <v>66</v>
      </c>
      <c r="H4520" s="10"/>
      <c r="I4520" s="10">
        <v>65.38</v>
      </c>
    </row>
    <row r="4521" spans="1:9" s="1" customFormat="1" ht="21.75" customHeight="1">
      <c r="A4521" s="8" t="s">
        <v>28</v>
      </c>
      <c r="B4521" s="8" t="s">
        <v>16</v>
      </c>
      <c r="C4521" s="9" t="str">
        <f t="shared" si="110"/>
        <v>230133</v>
      </c>
      <c r="D4521" s="9" t="str">
        <f>"230909214"</f>
        <v>230909214</v>
      </c>
      <c r="E4521" s="10">
        <v>56.63</v>
      </c>
      <c r="F4521" s="10"/>
      <c r="G4521" s="10">
        <v>70.5</v>
      </c>
      <c r="H4521" s="10"/>
      <c r="I4521" s="10">
        <v>64.95</v>
      </c>
    </row>
    <row r="4522" spans="1:9" s="1" customFormat="1" ht="21.75" customHeight="1">
      <c r="A4522" s="8" t="s">
        <v>28</v>
      </c>
      <c r="B4522" s="8" t="s">
        <v>16</v>
      </c>
      <c r="C4522" s="9" t="str">
        <f t="shared" si="110"/>
        <v>230133</v>
      </c>
      <c r="D4522" s="9" t="str">
        <f>"230909723"</f>
        <v>230909723</v>
      </c>
      <c r="E4522" s="10">
        <v>61.69</v>
      </c>
      <c r="F4522" s="10"/>
      <c r="G4522" s="10">
        <v>66</v>
      </c>
      <c r="H4522" s="10"/>
      <c r="I4522" s="10">
        <v>64.28</v>
      </c>
    </row>
    <row r="4523" spans="1:9" s="1" customFormat="1" ht="21.75" customHeight="1">
      <c r="A4523" s="8" t="s">
        <v>28</v>
      </c>
      <c r="B4523" s="8" t="s">
        <v>16</v>
      </c>
      <c r="C4523" s="9" t="str">
        <f t="shared" si="110"/>
        <v>230133</v>
      </c>
      <c r="D4523" s="9" t="str">
        <f>"230909118"</f>
        <v>230909118</v>
      </c>
      <c r="E4523" s="10">
        <v>57.59</v>
      </c>
      <c r="F4523" s="10"/>
      <c r="G4523" s="10">
        <v>68.5</v>
      </c>
      <c r="H4523" s="10"/>
      <c r="I4523" s="10">
        <v>64.14</v>
      </c>
    </row>
    <row r="4524" spans="1:9" ht="21.75" customHeight="1">
      <c r="A4524" s="8" t="s">
        <v>28</v>
      </c>
      <c r="B4524" s="8" t="s">
        <v>16</v>
      </c>
      <c r="C4524" s="9" t="str">
        <f t="shared" si="110"/>
        <v>230133</v>
      </c>
      <c r="D4524" s="9" t="str">
        <f>"230909224"</f>
        <v>230909224</v>
      </c>
      <c r="E4524" s="10">
        <v>61.47</v>
      </c>
      <c r="F4524" s="10"/>
      <c r="G4524" s="10">
        <v>65.5</v>
      </c>
      <c r="H4524" s="10"/>
      <c r="I4524" s="10">
        <v>63.89</v>
      </c>
    </row>
    <row r="4525" spans="1:9" ht="21.75" customHeight="1">
      <c r="A4525" s="8" t="s">
        <v>28</v>
      </c>
      <c r="B4525" s="8" t="s">
        <v>16</v>
      </c>
      <c r="C4525" s="9" t="str">
        <f t="shared" si="110"/>
        <v>230133</v>
      </c>
      <c r="D4525" s="9" t="str">
        <f>"230909123"</f>
        <v>230909123</v>
      </c>
      <c r="E4525" s="10">
        <v>52.64</v>
      </c>
      <c r="F4525" s="10"/>
      <c r="G4525" s="10">
        <v>71</v>
      </c>
      <c r="H4525" s="10"/>
      <c r="I4525" s="10">
        <v>63.66</v>
      </c>
    </row>
    <row r="4526" spans="1:9" ht="21.75" customHeight="1">
      <c r="A4526" s="8" t="s">
        <v>28</v>
      </c>
      <c r="B4526" s="8" t="s">
        <v>16</v>
      </c>
      <c r="C4526" s="9" t="str">
        <f t="shared" si="110"/>
        <v>230133</v>
      </c>
      <c r="D4526" s="9" t="str">
        <f>"230909313"</f>
        <v>230909313</v>
      </c>
      <c r="E4526" s="10">
        <v>66.75</v>
      </c>
      <c r="F4526" s="10"/>
      <c r="G4526" s="10">
        <v>61</v>
      </c>
      <c r="H4526" s="10"/>
      <c r="I4526" s="10">
        <v>63.3</v>
      </c>
    </row>
    <row r="4527" spans="1:9" ht="21.75" customHeight="1">
      <c r="A4527" s="8" t="s">
        <v>28</v>
      </c>
      <c r="B4527" s="8" t="s">
        <v>16</v>
      </c>
      <c r="C4527" s="9" t="str">
        <f t="shared" si="110"/>
        <v>230133</v>
      </c>
      <c r="D4527" s="9" t="str">
        <f>"230909110"</f>
        <v>230909110</v>
      </c>
      <c r="E4527" s="10">
        <v>62.97</v>
      </c>
      <c r="F4527" s="10"/>
      <c r="G4527" s="10">
        <v>63.5</v>
      </c>
      <c r="H4527" s="10"/>
      <c r="I4527" s="10">
        <v>63.29</v>
      </c>
    </row>
    <row r="4528" spans="1:9" ht="21.75" customHeight="1">
      <c r="A4528" s="8" t="s">
        <v>28</v>
      </c>
      <c r="B4528" s="8" t="s">
        <v>16</v>
      </c>
      <c r="C4528" s="9" t="str">
        <f t="shared" si="110"/>
        <v>230133</v>
      </c>
      <c r="D4528" s="9" t="str">
        <f>"230909601"</f>
        <v>230909601</v>
      </c>
      <c r="E4528" s="10">
        <v>52.71</v>
      </c>
      <c r="F4528" s="10"/>
      <c r="G4528" s="10">
        <v>70</v>
      </c>
      <c r="H4528" s="10"/>
      <c r="I4528" s="10">
        <v>63.08</v>
      </c>
    </row>
    <row r="4529" spans="1:9" ht="21.75" customHeight="1">
      <c r="A4529" s="8" t="s">
        <v>28</v>
      </c>
      <c r="B4529" s="8" t="s">
        <v>16</v>
      </c>
      <c r="C4529" s="9" t="str">
        <f t="shared" si="110"/>
        <v>230133</v>
      </c>
      <c r="D4529" s="9" t="str">
        <f>"230909430"</f>
        <v>230909430</v>
      </c>
      <c r="E4529" s="10">
        <v>57.44</v>
      </c>
      <c r="F4529" s="10"/>
      <c r="G4529" s="10">
        <v>66.5</v>
      </c>
      <c r="H4529" s="10"/>
      <c r="I4529" s="10">
        <v>62.88</v>
      </c>
    </row>
    <row r="4530" spans="1:9" s="1" customFormat="1" ht="21.75" customHeight="1">
      <c r="A4530" s="8" t="s">
        <v>28</v>
      </c>
      <c r="B4530" s="8" t="s">
        <v>16</v>
      </c>
      <c r="C4530" s="9" t="str">
        <f t="shared" si="110"/>
        <v>230133</v>
      </c>
      <c r="D4530" s="9" t="str">
        <f>"230909315"</f>
        <v>230909315</v>
      </c>
      <c r="E4530" s="10">
        <v>59.03</v>
      </c>
      <c r="F4530" s="10"/>
      <c r="G4530" s="10">
        <v>63.5</v>
      </c>
      <c r="H4530" s="10"/>
      <c r="I4530" s="10">
        <v>61.71</v>
      </c>
    </row>
    <row r="4531" spans="1:9" s="1" customFormat="1" ht="21.75" customHeight="1">
      <c r="A4531" s="8" t="s">
        <v>28</v>
      </c>
      <c r="B4531" s="8" t="s">
        <v>16</v>
      </c>
      <c r="C4531" s="9" t="str">
        <f t="shared" si="110"/>
        <v>230133</v>
      </c>
      <c r="D4531" s="9" t="str">
        <f>"230909720"</f>
        <v>230909720</v>
      </c>
      <c r="E4531" s="10">
        <v>50.52</v>
      </c>
      <c r="F4531" s="10"/>
      <c r="G4531" s="10">
        <v>69</v>
      </c>
      <c r="H4531" s="10"/>
      <c r="I4531" s="10">
        <v>61.61</v>
      </c>
    </row>
    <row r="4532" spans="1:9" ht="21.75" customHeight="1">
      <c r="A4532" s="8" t="s">
        <v>28</v>
      </c>
      <c r="B4532" s="8" t="s">
        <v>16</v>
      </c>
      <c r="C4532" s="9" t="str">
        <f t="shared" si="110"/>
        <v>230133</v>
      </c>
      <c r="D4532" s="9" t="str">
        <f>"230909409"</f>
        <v>230909409</v>
      </c>
      <c r="E4532" s="10">
        <v>47.45</v>
      </c>
      <c r="F4532" s="10"/>
      <c r="G4532" s="10">
        <v>71</v>
      </c>
      <c r="H4532" s="10"/>
      <c r="I4532" s="10">
        <v>61.58</v>
      </c>
    </row>
    <row r="4533" spans="1:9" ht="21.75" customHeight="1">
      <c r="A4533" s="8" t="s">
        <v>28</v>
      </c>
      <c r="B4533" s="8" t="s">
        <v>16</v>
      </c>
      <c r="C4533" s="9" t="str">
        <f t="shared" si="110"/>
        <v>230133</v>
      </c>
      <c r="D4533" s="9" t="str">
        <f>"230909124"</f>
        <v>230909124</v>
      </c>
      <c r="E4533" s="10">
        <v>57.42</v>
      </c>
      <c r="F4533" s="10"/>
      <c r="G4533" s="10">
        <v>62.5</v>
      </c>
      <c r="H4533" s="10"/>
      <c r="I4533" s="10">
        <v>60.47</v>
      </c>
    </row>
    <row r="4534" spans="1:9" ht="21.75" customHeight="1">
      <c r="A4534" s="8" t="s">
        <v>28</v>
      </c>
      <c r="B4534" s="8" t="s">
        <v>16</v>
      </c>
      <c r="C4534" s="9" t="str">
        <f t="shared" si="110"/>
        <v>230133</v>
      </c>
      <c r="D4534" s="9" t="str">
        <f>"230909610"</f>
        <v>230909610</v>
      </c>
      <c r="E4534" s="10">
        <v>38.619999999999997</v>
      </c>
      <c r="F4534" s="10"/>
      <c r="G4534" s="10">
        <v>68</v>
      </c>
      <c r="H4534" s="10"/>
      <c r="I4534" s="10">
        <v>56.25</v>
      </c>
    </row>
    <row r="4535" spans="1:9" s="1" customFormat="1" ht="21.75" customHeight="1">
      <c r="A4535" s="8" t="s">
        <v>28</v>
      </c>
      <c r="B4535" s="8" t="s">
        <v>16</v>
      </c>
      <c r="C4535" s="9" t="str">
        <f t="shared" si="110"/>
        <v>230133</v>
      </c>
      <c r="D4535" s="9" t="str">
        <f>"230909024"</f>
        <v>230909024</v>
      </c>
      <c r="E4535" s="10">
        <v>64.36</v>
      </c>
      <c r="F4535" s="10"/>
      <c r="G4535" s="10">
        <v>9.5</v>
      </c>
      <c r="H4535" s="10"/>
      <c r="I4535" s="10">
        <v>31.44</v>
      </c>
    </row>
    <row r="4536" spans="1:9" ht="21.75" customHeight="1">
      <c r="A4536" s="8" t="s">
        <v>28</v>
      </c>
      <c r="B4536" s="8" t="s">
        <v>16</v>
      </c>
      <c r="C4536" s="9" t="str">
        <f t="shared" si="110"/>
        <v>230133</v>
      </c>
      <c r="D4536" s="9" t="str">
        <f>"230909014"</f>
        <v>230909014</v>
      </c>
      <c r="E4536" s="10">
        <v>0</v>
      </c>
      <c r="F4536" s="10"/>
      <c r="G4536" s="10">
        <v>0</v>
      </c>
      <c r="H4536" s="10"/>
      <c r="I4536" s="10">
        <v>0</v>
      </c>
    </row>
    <row r="4537" spans="1:9" s="1" customFormat="1" ht="21.75" customHeight="1">
      <c r="A4537" s="8" t="s">
        <v>28</v>
      </c>
      <c r="B4537" s="8" t="s">
        <v>16</v>
      </c>
      <c r="C4537" s="9" t="str">
        <f t="shared" si="110"/>
        <v>230133</v>
      </c>
      <c r="D4537" s="9" t="str">
        <f>"230909015"</f>
        <v>230909015</v>
      </c>
      <c r="E4537" s="10">
        <v>0</v>
      </c>
      <c r="F4537" s="10"/>
      <c r="G4537" s="10">
        <v>0</v>
      </c>
      <c r="H4537" s="10"/>
      <c r="I4537" s="10">
        <v>0</v>
      </c>
    </row>
    <row r="4538" spans="1:9" ht="21.75" customHeight="1">
      <c r="A4538" s="8" t="s">
        <v>28</v>
      </c>
      <c r="B4538" s="8" t="s">
        <v>16</v>
      </c>
      <c r="C4538" s="9" t="str">
        <f t="shared" si="110"/>
        <v>230133</v>
      </c>
      <c r="D4538" s="9" t="str">
        <f>"230909021"</f>
        <v>230909021</v>
      </c>
      <c r="E4538" s="10">
        <v>0</v>
      </c>
      <c r="F4538" s="10"/>
      <c r="G4538" s="10">
        <v>0</v>
      </c>
      <c r="H4538" s="10"/>
      <c r="I4538" s="10">
        <v>0</v>
      </c>
    </row>
    <row r="4539" spans="1:9" ht="21.75" customHeight="1">
      <c r="A4539" s="8" t="s">
        <v>28</v>
      </c>
      <c r="B4539" s="8" t="s">
        <v>16</v>
      </c>
      <c r="C4539" s="9" t="str">
        <f t="shared" si="110"/>
        <v>230133</v>
      </c>
      <c r="D4539" s="9" t="str">
        <f>"230909023"</f>
        <v>230909023</v>
      </c>
      <c r="E4539" s="10">
        <v>0</v>
      </c>
      <c r="F4539" s="10"/>
      <c r="G4539" s="10">
        <v>0</v>
      </c>
      <c r="H4539" s="10"/>
      <c r="I4539" s="10">
        <v>0</v>
      </c>
    </row>
    <row r="4540" spans="1:9" ht="21.75" customHeight="1">
      <c r="A4540" s="8" t="s">
        <v>28</v>
      </c>
      <c r="B4540" s="8" t="s">
        <v>16</v>
      </c>
      <c r="C4540" s="9" t="str">
        <f t="shared" si="110"/>
        <v>230133</v>
      </c>
      <c r="D4540" s="9" t="str">
        <f>"230909025"</f>
        <v>230909025</v>
      </c>
      <c r="E4540" s="10">
        <v>0</v>
      </c>
      <c r="F4540" s="10"/>
      <c r="G4540" s="10">
        <v>0</v>
      </c>
      <c r="H4540" s="10"/>
      <c r="I4540" s="10">
        <v>0</v>
      </c>
    </row>
    <row r="4541" spans="1:9" s="1" customFormat="1" ht="21.75" customHeight="1">
      <c r="A4541" s="8" t="s">
        <v>28</v>
      </c>
      <c r="B4541" s="8" t="s">
        <v>16</v>
      </c>
      <c r="C4541" s="9" t="str">
        <f t="shared" si="110"/>
        <v>230133</v>
      </c>
      <c r="D4541" s="9" t="str">
        <f>"230909029"</f>
        <v>230909029</v>
      </c>
      <c r="E4541" s="10">
        <v>0</v>
      </c>
      <c r="F4541" s="10"/>
      <c r="G4541" s="10">
        <v>0</v>
      </c>
      <c r="H4541" s="10"/>
      <c r="I4541" s="10">
        <v>0</v>
      </c>
    </row>
    <row r="4542" spans="1:9" s="1" customFormat="1" ht="21.75" customHeight="1">
      <c r="A4542" s="8" t="s">
        <v>28</v>
      </c>
      <c r="B4542" s="8" t="s">
        <v>16</v>
      </c>
      <c r="C4542" s="9" t="str">
        <f t="shared" si="110"/>
        <v>230133</v>
      </c>
      <c r="D4542" s="9" t="str">
        <f>"230909102"</f>
        <v>230909102</v>
      </c>
      <c r="E4542" s="10">
        <v>0</v>
      </c>
      <c r="F4542" s="10"/>
      <c r="G4542" s="10">
        <v>0</v>
      </c>
      <c r="H4542" s="10"/>
      <c r="I4542" s="10">
        <v>0</v>
      </c>
    </row>
    <row r="4543" spans="1:9" ht="21.75" customHeight="1">
      <c r="A4543" s="8" t="s">
        <v>28</v>
      </c>
      <c r="B4543" s="8" t="s">
        <v>16</v>
      </c>
      <c r="C4543" s="9" t="str">
        <f t="shared" si="110"/>
        <v>230133</v>
      </c>
      <c r="D4543" s="9" t="str">
        <f>"230909104"</f>
        <v>230909104</v>
      </c>
      <c r="E4543" s="10">
        <v>0</v>
      </c>
      <c r="F4543" s="10"/>
      <c r="G4543" s="10">
        <v>0</v>
      </c>
      <c r="H4543" s="10"/>
      <c r="I4543" s="10">
        <v>0</v>
      </c>
    </row>
    <row r="4544" spans="1:9" ht="21.75" customHeight="1">
      <c r="A4544" s="8" t="s">
        <v>28</v>
      </c>
      <c r="B4544" s="8" t="s">
        <v>16</v>
      </c>
      <c r="C4544" s="9" t="str">
        <f t="shared" si="110"/>
        <v>230133</v>
      </c>
      <c r="D4544" s="9" t="str">
        <f>"230909119"</f>
        <v>230909119</v>
      </c>
      <c r="E4544" s="10">
        <v>0</v>
      </c>
      <c r="F4544" s="10"/>
      <c r="G4544" s="10">
        <v>0</v>
      </c>
      <c r="H4544" s="10"/>
      <c r="I4544" s="10">
        <v>0</v>
      </c>
    </row>
    <row r="4545" spans="1:9" ht="21.75" customHeight="1">
      <c r="A4545" s="8" t="s">
        <v>28</v>
      </c>
      <c r="B4545" s="8" t="s">
        <v>16</v>
      </c>
      <c r="C4545" s="9" t="str">
        <f t="shared" si="110"/>
        <v>230133</v>
      </c>
      <c r="D4545" s="9" t="str">
        <f>"230909125"</f>
        <v>230909125</v>
      </c>
      <c r="E4545" s="10">
        <v>0</v>
      </c>
      <c r="F4545" s="10"/>
      <c r="G4545" s="10">
        <v>0</v>
      </c>
      <c r="H4545" s="10"/>
      <c r="I4545" s="10">
        <v>0</v>
      </c>
    </row>
    <row r="4546" spans="1:9" ht="21.75" customHeight="1">
      <c r="A4546" s="8" t="s">
        <v>28</v>
      </c>
      <c r="B4546" s="8" t="s">
        <v>16</v>
      </c>
      <c r="C4546" s="9" t="str">
        <f t="shared" si="110"/>
        <v>230133</v>
      </c>
      <c r="D4546" s="9" t="str">
        <f>"230909128"</f>
        <v>230909128</v>
      </c>
      <c r="E4546" s="10">
        <v>0</v>
      </c>
      <c r="F4546" s="10"/>
      <c r="G4546" s="10">
        <v>0</v>
      </c>
      <c r="H4546" s="10"/>
      <c r="I4546" s="10">
        <v>0</v>
      </c>
    </row>
    <row r="4547" spans="1:9" ht="21.75" customHeight="1">
      <c r="A4547" s="8" t="s">
        <v>28</v>
      </c>
      <c r="B4547" s="8" t="s">
        <v>16</v>
      </c>
      <c r="C4547" s="9" t="str">
        <f t="shared" si="110"/>
        <v>230133</v>
      </c>
      <c r="D4547" s="9" t="str">
        <f>"230909130"</f>
        <v>230909130</v>
      </c>
      <c r="E4547" s="10">
        <v>0</v>
      </c>
      <c r="F4547" s="10"/>
      <c r="G4547" s="10">
        <v>0</v>
      </c>
      <c r="H4547" s="10"/>
      <c r="I4547" s="10">
        <v>0</v>
      </c>
    </row>
    <row r="4548" spans="1:9" ht="21.75" customHeight="1">
      <c r="A4548" s="8" t="s">
        <v>28</v>
      </c>
      <c r="B4548" s="8" t="s">
        <v>16</v>
      </c>
      <c r="C4548" s="9" t="str">
        <f t="shared" si="110"/>
        <v>230133</v>
      </c>
      <c r="D4548" s="9" t="str">
        <f>"230909201"</f>
        <v>230909201</v>
      </c>
      <c r="E4548" s="10">
        <v>0</v>
      </c>
      <c r="F4548" s="10"/>
      <c r="G4548" s="10">
        <v>0</v>
      </c>
      <c r="H4548" s="10"/>
      <c r="I4548" s="10">
        <v>0</v>
      </c>
    </row>
    <row r="4549" spans="1:9" ht="21.75" customHeight="1">
      <c r="A4549" s="8" t="s">
        <v>28</v>
      </c>
      <c r="B4549" s="8" t="s">
        <v>16</v>
      </c>
      <c r="C4549" s="9" t="str">
        <f t="shared" si="110"/>
        <v>230133</v>
      </c>
      <c r="D4549" s="9" t="str">
        <f>"230909204"</f>
        <v>230909204</v>
      </c>
      <c r="E4549" s="10">
        <v>0</v>
      </c>
      <c r="F4549" s="10"/>
      <c r="G4549" s="10">
        <v>0</v>
      </c>
      <c r="H4549" s="10"/>
      <c r="I4549" s="10">
        <v>0</v>
      </c>
    </row>
    <row r="4550" spans="1:9" s="1" customFormat="1" ht="21.75" customHeight="1">
      <c r="A4550" s="8" t="s">
        <v>28</v>
      </c>
      <c r="B4550" s="8" t="s">
        <v>16</v>
      </c>
      <c r="C4550" s="9" t="str">
        <f t="shared" ref="C4550:C4614" si="111">"230133"</f>
        <v>230133</v>
      </c>
      <c r="D4550" s="9" t="str">
        <f>"230909208"</f>
        <v>230909208</v>
      </c>
      <c r="E4550" s="10">
        <v>0</v>
      </c>
      <c r="F4550" s="10"/>
      <c r="G4550" s="10">
        <v>0</v>
      </c>
      <c r="H4550" s="10"/>
      <c r="I4550" s="10">
        <v>0</v>
      </c>
    </row>
    <row r="4551" spans="1:9" ht="21.75" customHeight="1">
      <c r="A4551" s="8" t="s">
        <v>28</v>
      </c>
      <c r="B4551" s="8" t="s">
        <v>16</v>
      </c>
      <c r="C4551" s="9" t="str">
        <f t="shared" si="111"/>
        <v>230133</v>
      </c>
      <c r="D4551" s="9" t="str">
        <f>"230909210"</f>
        <v>230909210</v>
      </c>
      <c r="E4551" s="10">
        <v>0</v>
      </c>
      <c r="F4551" s="10"/>
      <c r="G4551" s="10">
        <v>0</v>
      </c>
      <c r="H4551" s="10"/>
      <c r="I4551" s="10">
        <v>0</v>
      </c>
    </row>
    <row r="4552" spans="1:9" ht="21.75" customHeight="1">
      <c r="A4552" s="8" t="s">
        <v>28</v>
      </c>
      <c r="B4552" s="8" t="s">
        <v>16</v>
      </c>
      <c r="C4552" s="9" t="str">
        <f t="shared" si="111"/>
        <v>230133</v>
      </c>
      <c r="D4552" s="9" t="str">
        <f>"230909212"</f>
        <v>230909212</v>
      </c>
      <c r="E4552" s="10">
        <v>0</v>
      </c>
      <c r="F4552" s="10"/>
      <c r="G4552" s="10">
        <v>0</v>
      </c>
      <c r="H4552" s="10"/>
      <c r="I4552" s="10">
        <v>0</v>
      </c>
    </row>
    <row r="4553" spans="1:9" s="1" customFormat="1" ht="21.75" customHeight="1">
      <c r="A4553" s="8" t="s">
        <v>28</v>
      </c>
      <c r="B4553" s="8" t="s">
        <v>16</v>
      </c>
      <c r="C4553" s="9" t="str">
        <f t="shared" si="111"/>
        <v>230133</v>
      </c>
      <c r="D4553" s="9" t="str">
        <f>"230909213"</f>
        <v>230909213</v>
      </c>
      <c r="E4553" s="10">
        <v>0</v>
      </c>
      <c r="F4553" s="10"/>
      <c r="G4553" s="10">
        <v>0</v>
      </c>
      <c r="H4553" s="10"/>
      <c r="I4553" s="10">
        <v>0</v>
      </c>
    </row>
    <row r="4554" spans="1:9" s="1" customFormat="1" ht="21.75" customHeight="1">
      <c r="A4554" s="8" t="s">
        <v>28</v>
      </c>
      <c r="B4554" s="8" t="s">
        <v>16</v>
      </c>
      <c r="C4554" s="9" t="str">
        <f t="shared" si="111"/>
        <v>230133</v>
      </c>
      <c r="D4554" s="9" t="str">
        <f>"230909216"</f>
        <v>230909216</v>
      </c>
      <c r="E4554" s="10">
        <v>0</v>
      </c>
      <c r="F4554" s="10"/>
      <c r="G4554" s="10">
        <v>0</v>
      </c>
      <c r="H4554" s="10"/>
      <c r="I4554" s="10">
        <v>0</v>
      </c>
    </row>
    <row r="4555" spans="1:9" ht="21.75" customHeight="1">
      <c r="A4555" s="8" t="s">
        <v>28</v>
      </c>
      <c r="B4555" s="8" t="s">
        <v>16</v>
      </c>
      <c r="C4555" s="9" t="str">
        <f t="shared" si="111"/>
        <v>230133</v>
      </c>
      <c r="D4555" s="9" t="str">
        <f>"230909218"</f>
        <v>230909218</v>
      </c>
      <c r="E4555" s="10">
        <v>0</v>
      </c>
      <c r="F4555" s="10"/>
      <c r="G4555" s="10">
        <v>0</v>
      </c>
      <c r="H4555" s="10"/>
      <c r="I4555" s="10">
        <v>0</v>
      </c>
    </row>
    <row r="4556" spans="1:9" s="1" customFormat="1" ht="21.75" customHeight="1">
      <c r="A4556" s="8" t="s">
        <v>28</v>
      </c>
      <c r="B4556" s="8" t="s">
        <v>16</v>
      </c>
      <c r="C4556" s="9" t="str">
        <f t="shared" si="111"/>
        <v>230133</v>
      </c>
      <c r="D4556" s="9" t="str">
        <f>"230909220"</f>
        <v>230909220</v>
      </c>
      <c r="E4556" s="10">
        <v>0</v>
      </c>
      <c r="F4556" s="10"/>
      <c r="G4556" s="10">
        <v>0</v>
      </c>
      <c r="H4556" s="10"/>
      <c r="I4556" s="10">
        <v>0</v>
      </c>
    </row>
    <row r="4557" spans="1:9" ht="21.75" customHeight="1">
      <c r="A4557" s="8" t="s">
        <v>28</v>
      </c>
      <c r="B4557" s="8" t="s">
        <v>16</v>
      </c>
      <c r="C4557" s="9" t="str">
        <f t="shared" si="111"/>
        <v>230133</v>
      </c>
      <c r="D4557" s="9" t="str">
        <f>"230909221"</f>
        <v>230909221</v>
      </c>
      <c r="E4557" s="10">
        <v>0</v>
      </c>
      <c r="F4557" s="10"/>
      <c r="G4557" s="10">
        <v>0</v>
      </c>
      <c r="H4557" s="10"/>
      <c r="I4557" s="10">
        <v>0</v>
      </c>
    </row>
    <row r="4558" spans="1:9" ht="21.75" customHeight="1">
      <c r="A4558" s="8" t="s">
        <v>28</v>
      </c>
      <c r="B4558" s="8" t="s">
        <v>16</v>
      </c>
      <c r="C4558" s="9" t="str">
        <f t="shared" si="111"/>
        <v>230133</v>
      </c>
      <c r="D4558" s="9" t="str">
        <f>"230909225"</f>
        <v>230909225</v>
      </c>
      <c r="E4558" s="10">
        <v>0</v>
      </c>
      <c r="F4558" s="10"/>
      <c r="G4558" s="10">
        <v>0</v>
      </c>
      <c r="H4558" s="10"/>
      <c r="I4558" s="10">
        <v>0</v>
      </c>
    </row>
    <row r="4559" spans="1:9" s="1" customFormat="1" ht="21.75" customHeight="1">
      <c r="A4559" s="8" t="s">
        <v>28</v>
      </c>
      <c r="B4559" s="8" t="s">
        <v>16</v>
      </c>
      <c r="C4559" s="9" t="str">
        <f t="shared" si="111"/>
        <v>230133</v>
      </c>
      <c r="D4559" s="9" t="str">
        <f>"230909226"</f>
        <v>230909226</v>
      </c>
      <c r="E4559" s="10">
        <v>0</v>
      </c>
      <c r="F4559" s="10"/>
      <c r="G4559" s="10">
        <v>0</v>
      </c>
      <c r="H4559" s="10"/>
      <c r="I4559" s="10">
        <v>0</v>
      </c>
    </row>
    <row r="4560" spans="1:9" ht="21.75" customHeight="1">
      <c r="A4560" s="8" t="s">
        <v>28</v>
      </c>
      <c r="B4560" s="8" t="s">
        <v>16</v>
      </c>
      <c r="C4560" s="9" t="str">
        <f t="shared" si="111"/>
        <v>230133</v>
      </c>
      <c r="D4560" s="9" t="str">
        <f>"230909228"</f>
        <v>230909228</v>
      </c>
      <c r="E4560" s="10">
        <v>0</v>
      </c>
      <c r="F4560" s="10"/>
      <c r="G4560" s="10">
        <v>0</v>
      </c>
      <c r="H4560" s="10"/>
      <c r="I4560" s="10">
        <v>0</v>
      </c>
    </row>
    <row r="4561" spans="1:9" ht="21.75" customHeight="1">
      <c r="A4561" s="8" t="s">
        <v>28</v>
      </c>
      <c r="B4561" s="8" t="s">
        <v>16</v>
      </c>
      <c r="C4561" s="9" t="str">
        <f t="shared" si="111"/>
        <v>230133</v>
      </c>
      <c r="D4561" s="9" t="str">
        <f>"230909229"</f>
        <v>230909229</v>
      </c>
      <c r="E4561" s="10">
        <v>0</v>
      </c>
      <c r="F4561" s="10"/>
      <c r="G4561" s="10">
        <v>0</v>
      </c>
      <c r="H4561" s="10"/>
      <c r="I4561" s="10">
        <v>0</v>
      </c>
    </row>
    <row r="4562" spans="1:9" s="1" customFormat="1" ht="21.75" customHeight="1">
      <c r="A4562" s="8" t="s">
        <v>28</v>
      </c>
      <c r="B4562" s="8" t="s">
        <v>16</v>
      </c>
      <c r="C4562" s="9" t="str">
        <f t="shared" si="111"/>
        <v>230133</v>
      </c>
      <c r="D4562" s="9" t="str">
        <f>"230909301"</f>
        <v>230909301</v>
      </c>
      <c r="E4562" s="10">
        <v>0</v>
      </c>
      <c r="F4562" s="10"/>
      <c r="G4562" s="10">
        <v>0</v>
      </c>
      <c r="H4562" s="10"/>
      <c r="I4562" s="10">
        <v>0</v>
      </c>
    </row>
    <row r="4563" spans="1:9" ht="21.75" customHeight="1">
      <c r="A4563" s="8" t="s">
        <v>28</v>
      </c>
      <c r="B4563" s="8" t="s">
        <v>16</v>
      </c>
      <c r="C4563" s="9" t="str">
        <f t="shared" si="111"/>
        <v>230133</v>
      </c>
      <c r="D4563" s="9" t="str">
        <f>"230909302"</f>
        <v>230909302</v>
      </c>
      <c r="E4563" s="10">
        <v>0</v>
      </c>
      <c r="F4563" s="10"/>
      <c r="G4563" s="10">
        <v>0</v>
      </c>
      <c r="H4563" s="10"/>
      <c r="I4563" s="10">
        <v>0</v>
      </c>
    </row>
    <row r="4564" spans="1:9" s="1" customFormat="1" ht="21.75" customHeight="1">
      <c r="A4564" s="8" t="s">
        <v>28</v>
      </c>
      <c r="B4564" s="8" t="s">
        <v>16</v>
      </c>
      <c r="C4564" s="9" t="str">
        <f t="shared" si="111"/>
        <v>230133</v>
      </c>
      <c r="D4564" s="9" t="str">
        <f>"230909305"</f>
        <v>230909305</v>
      </c>
      <c r="E4564" s="10">
        <v>0</v>
      </c>
      <c r="F4564" s="10"/>
      <c r="G4564" s="10">
        <v>0</v>
      </c>
      <c r="H4564" s="10"/>
      <c r="I4564" s="10">
        <v>0</v>
      </c>
    </row>
    <row r="4565" spans="1:9" s="1" customFormat="1" ht="21.75" customHeight="1">
      <c r="A4565" s="8" t="s">
        <v>28</v>
      </c>
      <c r="B4565" s="8" t="s">
        <v>16</v>
      </c>
      <c r="C4565" s="9" t="str">
        <f t="shared" si="111"/>
        <v>230133</v>
      </c>
      <c r="D4565" s="9" t="str">
        <f>"230909308"</f>
        <v>230909308</v>
      </c>
      <c r="E4565" s="10">
        <v>0</v>
      </c>
      <c r="F4565" s="10"/>
      <c r="G4565" s="10">
        <v>0</v>
      </c>
      <c r="H4565" s="10"/>
      <c r="I4565" s="10">
        <v>0</v>
      </c>
    </row>
    <row r="4566" spans="1:9" ht="21.75" customHeight="1">
      <c r="A4566" s="8" t="s">
        <v>28</v>
      </c>
      <c r="B4566" s="8" t="s">
        <v>16</v>
      </c>
      <c r="C4566" s="9" t="str">
        <f t="shared" si="111"/>
        <v>230133</v>
      </c>
      <c r="D4566" s="9" t="str">
        <f>"230909319"</f>
        <v>230909319</v>
      </c>
      <c r="E4566" s="10">
        <v>0</v>
      </c>
      <c r="F4566" s="10"/>
      <c r="G4566" s="10">
        <v>0</v>
      </c>
      <c r="H4566" s="10"/>
      <c r="I4566" s="10">
        <v>0</v>
      </c>
    </row>
    <row r="4567" spans="1:9" ht="21.75" customHeight="1">
      <c r="A4567" s="8" t="s">
        <v>28</v>
      </c>
      <c r="B4567" s="8" t="s">
        <v>16</v>
      </c>
      <c r="C4567" s="9" t="str">
        <f t="shared" si="111"/>
        <v>230133</v>
      </c>
      <c r="D4567" s="9" t="str">
        <f>"230909326"</f>
        <v>230909326</v>
      </c>
      <c r="E4567" s="10">
        <v>0</v>
      </c>
      <c r="F4567" s="10"/>
      <c r="G4567" s="10">
        <v>0</v>
      </c>
      <c r="H4567" s="10"/>
      <c r="I4567" s="10">
        <v>0</v>
      </c>
    </row>
    <row r="4568" spans="1:9" ht="21.75" customHeight="1">
      <c r="A4568" s="8" t="s">
        <v>28</v>
      </c>
      <c r="B4568" s="8" t="s">
        <v>16</v>
      </c>
      <c r="C4568" s="9" t="str">
        <f t="shared" si="111"/>
        <v>230133</v>
      </c>
      <c r="D4568" s="9" t="str">
        <f>"230909407"</f>
        <v>230909407</v>
      </c>
      <c r="E4568" s="10">
        <v>0</v>
      </c>
      <c r="F4568" s="10"/>
      <c r="G4568" s="10">
        <v>0</v>
      </c>
      <c r="H4568" s="10"/>
      <c r="I4568" s="10">
        <v>0</v>
      </c>
    </row>
    <row r="4569" spans="1:9" ht="21.75" customHeight="1">
      <c r="A4569" s="8" t="s">
        <v>28</v>
      </c>
      <c r="B4569" s="8" t="s">
        <v>16</v>
      </c>
      <c r="C4569" s="9" t="str">
        <f t="shared" si="111"/>
        <v>230133</v>
      </c>
      <c r="D4569" s="9" t="str">
        <f>"230909413"</f>
        <v>230909413</v>
      </c>
      <c r="E4569" s="10">
        <v>0</v>
      </c>
      <c r="F4569" s="10"/>
      <c r="G4569" s="10">
        <v>0</v>
      </c>
      <c r="H4569" s="10"/>
      <c r="I4569" s="10">
        <v>0</v>
      </c>
    </row>
    <row r="4570" spans="1:9" ht="21.75" customHeight="1">
      <c r="A4570" s="8" t="s">
        <v>28</v>
      </c>
      <c r="B4570" s="8" t="s">
        <v>16</v>
      </c>
      <c r="C4570" s="9" t="str">
        <f t="shared" si="111"/>
        <v>230133</v>
      </c>
      <c r="D4570" s="9" t="str">
        <f>"230909414"</f>
        <v>230909414</v>
      </c>
      <c r="E4570" s="10">
        <v>0</v>
      </c>
      <c r="F4570" s="10"/>
      <c r="G4570" s="10">
        <v>0</v>
      </c>
      <c r="H4570" s="10"/>
      <c r="I4570" s="10">
        <v>0</v>
      </c>
    </row>
    <row r="4571" spans="1:9" ht="21.75" customHeight="1">
      <c r="A4571" s="8" t="s">
        <v>28</v>
      </c>
      <c r="B4571" s="8" t="s">
        <v>16</v>
      </c>
      <c r="C4571" s="9" t="str">
        <f t="shared" si="111"/>
        <v>230133</v>
      </c>
      <c r="D4571" s="9" t="str">
        <f>"230909420"</f>
        <v>230909420</v>
      </c>
      <c r="E4571" s="10">
        <v>0</v>
      </c>
      <c r="F4571" s="10"/>
      <c r="G4571" s="10">
        <v>0</v>
      </c>
      <c r="H4571" s="10"/>
      <c r="I4571" s="10">
        <v>0</v>
      </c>
    </row>
    <row r="4572" spans="1:9" ht="21.75" customHeight="1">
      <c r="A4572" s="8" t="s">
        <v>28</v>
      </c>
      <c r="B4572" s="8" t="s">
        <v>16</v>
      </c>
      <c r="C4572" s="9" t="str">
        <f t="shared" si="111"/>
        <v>230133</v>
      </c>
      <c r="D4572" s="9" t="str">
        <f>"230909421"</f>
        <v>230909421</v>
      </c>
      <c r="E4572" s="10">
        <v>0</v>
      </c>
      <c r="F4572" s="10"/>
      <c r="G4572" s="10">
        <v>0</v>
      </c>
      <c r="H4572" s="10"/>
      <c r="I4572" s="10">
        <v>0</v>
      </c>
    </row>
    <row r="4573" spans="1:9" ht="21.75" customHeight="1">
      <c r="A4573" s="8" t="s">
        <v>28</v>
      </c>
      <c r="B4573" s="8" t="s">
        <v>16</v>
      </c>
      <c r="C4573" s="9" t="str">
        <f t="shared" si="111"/>
        <v>230133</v>
      </c>
      <c r="D4573" s="9" t="str">
        <f>"230909427"</f>
        <v>230909427</v>
      </c>
      <c r="E4573" s="10">
        <v>0</v>
      </c>
      <c r="F4573" s="10"/>
      <c r="G4573" s="10">
        <v>0</v>
      </c>
      <c r="H4573" s="10"/>
      <c r="I4573" s="10">
        <v>0</v>
      </c>
    </row>
    <row r="4574" spans="1:9" ht="21.75" customHeight="1">
      <c r="A4574" s="8" t="s">
        <v>28</v>
      </c>
      <c r="B4574" s="8" t="s">
        <v>16</v>
      </c>
      <c r="C4574" s="9" t="str">
        <f t="shared" si="111"/>
        <v>230133</v>
      </c>
      <c r="D4574" s="9" t="str">
        <f>"230909502"</f>
        <v>230909502</v>
      </c>
      <c r="E4574" s="10">
        <v>0</v>
      </c>
      <c r="F4574" s="10"/>
      <c r="G4574" s="10">
        <v>0</v>
      </c>
      <c r="H4574" s="10"/>
      <c r="I4574" s="10">
        <v>0</v>
      </c>
    </row>
    <row r="4575" spans="1:9" ht="21.75" customHeight="1">
      <c r="A4575" s="8" t="s">
        <v>28</v>
      </c>
      <c r="B4575" s="8" t="s">
        <v>16</v>
      </c>
      <c r="C4575" s="9" t="str">
        <f t="shared" si="111"/>
        <v>230133</v>
      </c>
      <c r="D4575" s="9" t="str">
        <f>"230909505"</f>
        <v>230909505</v>
      </c>
      <c r="E4575" s="10">
        <v>0</v>
      </c>
      <c r="F4575" s="10"/>
      <c r="G4575" s="10">
        <v>0</v>
      </c>
      <c r="H4575" s="10"/>
      <c r="I4575" s="10">
        <v>0</v>
      </c>
    </row>
    <row r="4576" spans="1:9" s="1" customFormat="1" ht="21.75" customHeight="1">
      <c r="A4576" s="8" t="s">
        <v>28</v>
      </c>
      <c r="B4576" s="8" t="s">
        <v>16</v>
      </c>
      <c r="C4576" s="9" t="str">
        <f t="shared" si="111"/>
        <v>230133</v>
      </c>
      <c r="D4576" s="9" t="str">
        <f>"230909513"</f>
        <v>230909513</v>
      </c>
      <c r="E4576" s="10">
        <v>0</v>
      </c>
      <c r="F4576" s="10"/>
      <c r="G4576" s="10">
        <v>0</v>
      </c>
      <c r="H4576" s="10"/>
      <c r="I4576" s="10">
        <v>0</v>
      </c>
    </row>
    <row r="4577" spans="1:9" ht="21.75" customHeight="1">
      <c r="A4577" s="8" t="s">
        <v>28</v>
      </c>
      <c r="B4577" s="8" t="s">
        <v>16</v>
      </c>
      <c r="C4577" s="9" t="str">
        <f t="shared" si="111"/>
        <v>230133</v>
      </c>
      <c r="D4577" s="9" t="str">
        <f>"230909521"</f>
        <v>230909521</v>
      </c>
      <c r="E4577" s="10">
        <v>0</v>
      </c>
      <c r="F4577" s="10"/>
      <c r="G4577" s="10">
        <v>0</v>
      </c>
      <c r="H4577" s="10"/>
      <c r="I4577" s="10">
        <v>0</v>
      </c>
    </row>
    <row r="4578" spans="1:9" ht="21.75" customHeight="1">
      <c r="A4578" s="8" t="s">
        <v>28</v>
      </c>
      <c r="B4578" s="8" t="s">
        <v>16</v>
      </c>
      <c r="C4578" s="9" t="str">
        <f t="shared" si="111"/>
        <v>230133</v>
      </c>
      <c r="D4578" s="9" t="str">
        <f>"230909524"</f>
        <v>230909524</v>
      </c>
      <c r="E4578" s="10">
        <v>0</v>
      </c>
      <c r="F4578" s="10"/>
      <c r="G4578" s="10">
        <v>0</v>
      </c>
      <c r="H4578" s="10"/>
      <c r="I4578" s="10">
        <v>0</v>
      </c>
    </row>
    <row r="4579" spans="1:9" s="1" customFormat="1" ht="21.75" customHeight="1">
      <c r="A4579" s="8" t="s">
        <v>28</v>
      </c>
      <c r="B4579" s="8" t="s">
        <v>16</v>
      </c>
      <c r="C4579" s="9" t="str">
        <f t="shared" si="111"/>
        <v>230133</v>
      </c>
      <c r="D4579" s="9" t="str">
        <f>"230909525"</f>
        <v>230909525</v>
      </c>
      <c r="E4579" s="10">
        <v>0</v>
      </c>
      <c r="F4579" s="10"/>
      <c r="G4579" s="10">
        <v>0</v>
      </c>
      <c r="H4579" s="10"/>
      <c r="I4579" s="10">
        <v>0</v>
      </c>
    </row>
    <row r="4580" spans="1:9" ht="21.75" customHeight="1">
      <c r="A4580" s="8" t="s">
        <v>28</v>
      </c>
      <c r="B4580" s="8" t="s">
        <v>16</v>
      </c>
      <c r="C4580" s="9" t="str">
        <f t="shared" si="111"/>
        <v>230133</v>
      </c>
      <c r="D4580" s="9" t="str">
        <f>"230909602"</f>
        <v>230909602</v>
      </c>
      <c r="E4580" s="10">
        <v>0</v>
      </c>
      <c r="F4580" s="10"/>
      <c r="G4580" s="10">
        <v>0</v>
      </c>
      <c r="H4580" s="10"/>
      <c r="I4580" s="10">
        <v>0</v>
      </c>
    </row>
    <row r="4581" spans="1:9" s="1" customFormat="1" ht="21.75" customHeight="1">
      <c r="A4581" s="8" t="s">
        <v>28</v>
      </c>
      <c r="B4581" s="8" t="s">
        <v>16</v>
      </c>
      <c r="C4581" s="9" t="str">
        <f t="shared" si="111"/>
        <v>230133</v>
      </c>
      <c r="D4581" s="9" t="str">
        <f>"230909606"</f>
        <v>230909606</v>
      </c>
      <c r="E4581" s="10">
        <v>0</v>
      </c>
      <c r="F4581" s="10"/>
      <c r="G4581" s="10">
        <v>0</v>
      </c>
      <c r="H4581" s="10"/>
      <c r="I4581" s="10">
        <v>0</v>
      </c>
    </row>
    <row r="4582" spans="1:9" s="1" customFormat="1" ht="21.75" customHeight="1">
      <c r="A4582" s="8" t="s">
        <v>28</v>
      </c>
      <c r="B4582" s="8" t="s">
        <v>16</v>
      </c>
      <c r="C4582" s="9" t="str">
        <f t="shared" si="111"/>
        <v>230133</v>
      </c>
      <c r="D4582" s="9" t="str">
        <f>"230909609"</f>
        <v>230909609</v>
      </c>
      <c r="E4582" s="10">
        <v>0</v>
      </c>
      <c r="F4582" s="10"/>
      <c r="G4582" s="10">
        <v>0</v>
      </c>
      <c r="H4582" s="10"/>
      <c r="I4582" s="10">
        <v>0</v>
      </c>
    </row>
    <row r="4583" spans="1:9" ht="21.75" customHeight="1">
      <c r="A4583" s="8" t="s">
        <v>28</v>
      </c>
      <c r="B4583" s="8" t="s">
        <v>16</v>
      </c>
      <c r="C4583" s="9" t="str">
        <f t="shared" si="111"/>
        <v>230133</v>
      </c>
      <c r="D4583" s="9" t="str">
        <f>"230909611"</f>
        <v>230909611</v>
      </c>
      <c r="E4583" s="10">
        <v>0</v>
      </c>
      <c r="F4583" s="10"/>
      <c r="G4583" s="10">
        <v>0</v>
      </c>
      <c r="H4583" s="10"/>
      <c r="I4583" s="10">
        <v>0</v>
      </c>
    </row>
    <row r="4584" spans="1:9" ht="21.75" customHeight="1">
      <c r="A4584" s="8" t="s">
        <v>28</v>
      </c>
      <c r="B4584" s="8" t="s">
        <v>16</v>
      </c>
      <c r="C4584" s="9" t="str">
        <f t="shared" si="111"/>
        <v>230133</v>
      </c>
      <c r="D4584" s="9" t="str">
        <f>"230909613"</f>
        <v>230909613</v>
      </c>
      <c r="E4584" s="10">
        <v>0</v>
      </c>
      <c r="F4584" s="10"/>
      <c r="G4584" s="10">
        <v>0</v>
      </c>
      <c r="H4584" s="10"/>
      <c r="I4584" s="10">
        <v>0</v>
      </c>
    </row>
    <row r="4585" spans="1:9" ht="21.75" customHeight="1">
      <c r="A4585" s="8" t="s">
        <v>28</v>
      </c>
      <c r="B4585" s="8" t="s">
        <v>16</v>
      </c>
      <c r="C4585" s="9" t="str">
        <f t="shared" si="111"/>
        <v>230133</v>
      </c>
      <c r="D4585" s="9" t="str">
        <f>"230909615"</f>
        <v>230909615</v>
      </c>
      <c r="E4585" s="10">
        <v>0</v>
      </c>
      <c r="F4585" s="10"/>
      <c r="G4585" s="10">
        <v>0</v>
      </c>
      <c r="H4585" s="10"/>
      <c r="I4585" s="10">
        <v>0</v>
      </c>
    </row>
    <row r="4586" spans="1:9" ht="21.75" customHeight="1">
      <c r="A4586" s="8" t="s">
        <v>28</v>
      </c>
      <c r="B4586" s="8" t="s">
        <v>16</v>
      </c>
      <c r="C4586" s="9" t="str">
        <f t="shared" si="111"/>
        <v>230133</v>
      </c>
      <c r="D4586" s="9" t="str">
        <f>"230909617"</f>
        <v>230909617</v>
      </c>
      <c r="E4586" s="10">
        <v>0</v>
      </c>
      <c r="F4586" s="10"/>
      <c r="G4586" s="10">
        <v>0</v>
      </c>
      <c r="H4586" s="10"/>
      <c r="I4586" s="10">
        <v>0</v>
      </c>
    </row>
    <row r="4587" spans="1:9" ht="21.75" customHeight="1">
      <c r="A4587" s="8" t="s">
        <v>28</v>
      </c>
      <c r="B4587" s="8" t="s">
        <v>16</v>
      </c>
      <c r="C4587" s="9" t="str">
        <f t="shared" si="111"/>
        <v>230133</v>
      </c>
      <c r="D4587" s="9" t="str">
        <f>"230909620"</f>
        <v>230909620</v>
      </c>
      <c r="E4587" s="10">
        <v>0</v>
      </c>
      <c r="F4587" s="10"/>
      <c r="G4587" s="10">
        <v>0</v>
      </c>
      <c r="H4587" s="10"/>
      <c r="I4587" s="10">
        <v>0</v>
      </c>
    </row>
    <row r="4588" spans="1:9" ht="21.75" customHeight="1">
      <c r="A4588" s="8" t="s">
        <v>28</v>
      </c>
      <c r="B4588" s="8" t="s">
        <v>16</v>
      </c>
      <c r="C4588" s="9" t="str">
        <f t="shared" si="111"/>
        <v>230133</v>
      </c>
      <c r="D4588" s="9" t="str">
        <f>"230909622"</f>
        <v>230909622</v>
      </c>
      <c r="E4588" s="10">
        <v>0</v>
      </c>
      <c r="F4588" s="10"/>
      <c r="G4588" s="10">
        <v>0</v>
      </c>
      <c r="H4588" s="10"/>
      <c r="I4588" s="10">
        <v>0</v>
      </c>
    </row>
    <row r="4589" spans="1:9" ht="21.75" customHeight="1">
      <c r="A4589" s="8" t="s">
        <v>28</v>
      </c>
      <c r="B4589" s="8" t="s">
        <v>16</v>
      </c>
      <c r="C4589" s="9" t="str">
        <f t="shared" si="111"/>
        <v>230133</v>
      </c>
      <c r="D4589" s="9" t="str">
        <f>"230909623"</f>
        <v>230909623</v>
      </c>
      <c r="E4589" s="10">
        <v>0</v>
      </c>
      <c r="F4589" s="10"/>
      <c r="G4589" s="10">
        <v>0</v>
      </c>
      <c r="H4589" s="10"/>
      <c r="I4589" s="10">
        <v>0</v>
      </c>
    </row>
    <row r="4590" spans="1:9" ht="21.75" customHeight="1">
      <c r="A4590" s="8" t="s">
        <v>28</v>
      </c>
      <c r="B4590" s="8" t="s">
        <v>16</v>
      </c>
      <c r="C4590" s="9" t="str">
        <f t="shared" si="111"/>
        <v>230133</v>
      </c>
      <c r="D4590" s="9" t="str">
        <f>"230909626"</f>
        <v>230909626</v>
      </c>
      <c r="E4590" s="10">
        <v>0</v>
      </c>
      <c r="F4590" s="10"/>
      <c r="G4590" s="10">
        <v>0</v>
      </c>
      <c r="H4590" s="10"/>
      <c r="I4590" s="10">
        <v>0</v>
      </c>
    </row>
    <row r="4591" spans="1:9" ht="21.75" customHeight="1">
      <c r="A4591" s="8" t="s">
        <v>28</v>
      </c>
      <c r="B4591" s="8" t="s">
        <v>16</v>
      </c>
      <c r="C4591" s="9" t="str">
        <f t="shared" si="111"/>
        <v>230133</v>
      </c>
      <c r="D4591" s="9" t="str">
        <f>"230909701"</f>
        <v>230909701</v>
      </c>
      <c r="E4591" s="10">
        <v>0</v>
      </c>
      <c r="F4591" s="10"/>
      <c r="G4591" s="10">
        <v>0</v>
      </c>
      <c r="H4591" s="10"/>
      <c r="I4591" s="10">
        <v>0</v>
      </c>
    </row>
    <row r="4592" spans="1:9" s="1" customFormat="1" ht="21.75" customHeight="1">
      <c r="A4592" s="8" t="s">
        <v>28</v>
      </c>
      <c r="B4592" s="8" t="s">
        <v>16</v>
      </c>
      <c r="C4592" s="9" t="str">
        <f t="shared" si="111"/>
        <v>230133</v>
      </c>
      <c r="D4592" s="9" t="str">
        <f>"230909703"</f>
        <v>230909703</v>
      </c>
      <c r="E4592" s="10">
        <v>0</v>
      </c>
      <c r="F4592" s="10"/>
      <c r="G4592" s="10">
        <v>0</v>
      </c>
      <c r="H4592" s="10"/>
      <c r="I4592" s="10">
        <v>0</v>
      </c>
    </row>
    <row r="4593" spans="1:9" ht="21.75" customHeight="1">
      <c r="A4593" s="8" t="s">
        <v>28</v>
      </c>
      <c r="B4593" s="8" t="s">
        <v>16</v>
      </c>
      <c r="C4593" s="9" t="str">
        <f t="shared" si="111"/>
        <v>230133</v>
      </c>
      <c r="D4593" s="9" t="str">
        <f>"230909705"</f>
        <v>230909705</v>
      </c>
      <c r="E4593" s="10">
        <v>0</v>
      </c>
      <c r="F4593" s="10"/>
      <c r="G4593" s="10">
        <v>0</v>
      </c>
      <c r="H4593" s="10"/>
      <c r="I4593" s="10">
        <v>0</v>
      </c>
    </row>
    <row r="4594" spans="1:9" ht="21.75" customHeight="1">
      <c r="A4594" s="8" t="s">
        <v>28</v>
      </c>
      <c r="B4594" s="8" t="s">
        <v>16</v>
      </c>
      <c r="C4594" s="9" t="str">
        <f t="shared" si="111"/>
        <v>230133</v>
      </c>
      <c r="D4594" s="9" t="str">
        <f>"230909706"</f>
        <v>230909706</v>
      </c>
      <c r="E4594" s="10">
        <v>0</v>
      </c>
      <c r="F4594" s="10"/>
      <c r="G4594" s="10">
        <v>0</v>
      </c>
      <c r="H4594" s="10"/>
      <c r="I4594" s="10">
        <v>0</v>
      </c>
    </row>
    <row r="4595" spans="1:9" ht="21.75" customHeight="1">
      <c r="A4595" s="8" t="s">
        <v>28</v>
      </c>
      <c r="B4595" s="8" t="s">
        <v>16</v>
      </c>
      <c r="C4595" s="9" t="str">
        <f t="shared" si="111"/>
        <v>230133</v>
      </c>
      <c r="D4595" s="9" t="str">
        <f>"230909707"</f>
        <v>230909707</v>
      </c>
      <c r="E4595" s="10">
        <v>0</v>
      </c>
      <c r="F4595" s="10"/>
      <c r="G4595" s="10">
        <v>0</v>
      </c>
      <c r="H4595" s="10"/>
      <c r="I4595" s="10">
        <v>0</v>
      </c>
    </row>
    <row r="4596" spans="1:9" ht="21.75" customHeight="1">
      <c r="A4596" s="8" t="s">
        <v>28</v>
      </c>
      <c r="B4596" s="8" t="s">
        <v>16</v>
      </c>
      <c r="C4596" s="9" t="str">
        <f t="shared" si="111"/>
        <v>230133</v>
      </c>
      <c r="D4596" s="9" t="str">
        <f>"230909709"</f>
        <v>230909709</v>
      </c>
      <c r="E4596" s="10">
        <v>0</v>
      </c>
      <c r="F4596" s="10"/>
      <c r="G4596" s="10">
        <v>0</v>
      </c>
      <c r="H4596" s="10"/>
      <c r="I4596" s="10">
        <v>0</v>
      </c>
    </row>
    <row r="4597" spans="1:9" s="1" customFormat="1" ht="21.75" customHeight="1">
      <c r="A4597" s="8" t="s">
        <v>28</v>
      </c>
      <c r="B4597" s="8" t="s">
        <v>16</v>
      </c>
      <c r="C4597" s="9" t="str">
        <f t="shared" si="111"/>
        <v>230133</v>
      </c>
      <c r="D4597" s="9" t="str">
        <f>"230909712"</f>
        <v>230909712</v>
      </c>
      <c r="E4597" s="10">
        <v>0</v>
      </c>
      <c r="F4597" s="10"/>
      <c r="G4597" s="10">
        <v>0</v>
      </c>
      <c r="H4597" s="10"/>
      <c r="I4597" s="10">
        <v>0</v>
      </c>
    </row>
    <row r="4598" spans="1:9" ht="21.75" customHeight="1">
      <c r="A4598" s="8" t="s">
        <v>28</v>
      </c>
      <c r="B4598" s="8" t="s">
        <v>16</v>
      </c>
      <c r="C4598" s="9" t="str">
        <f t="shared" si="111"/>
        <v>230133</v>
      </c>
      <c r="D4598" s="9" t="str">
        <f>"230909713"</f>
        <v>230909713</v>
      </c>
      <c r="E4598" s="10">
        <v>0</v>
      </c>
      <c r="F4598" s="10"/>
      <c r="G4598" s="10">
        <v>0</v>
      </c>
      <c r="H4598" s="10"/>
      <c r="I4598" s="10">
        <v>0</v>
      </c>
    </row>
    <row r="4599" spans="1:9" ht="21.75" customHeight="1">
      <c r="A4599" s="8" t="s">
        <v>28</v>
      </c>
      <c r="B4599" s="8" t="s">
        <v>16</v>
      </c>
      <c r="C4599" s="9" t="str">
        <f t="shared" si="111"/>
        <v>230133</v>
      </c>
      <c r="D4599" s="9" t="str">
        <f>"230909718"</f>
        <v>230909718</v>
      </c>
      <c r="E4599" s="10">
        <v>0</v>
      </c>
      <c r="F4599" s="10"/>
      <c r="G4599" s="10">
        <v>0</v>
      </c>
      <c r="H4599" s="10"/>
      <c r="I4599" s="10">
        <v>0</v>
      </c>
    </row>
    <row r="4600" spans="1:9" ht="21.75" customHeight="1">
      <c r="A4600" s="8" t="s">
        <v>28</v>
      </c>
      <c r="B4600" s="8" t="s">
        <v>16</v>
      </c>
      <c r="C4600" s="9" t="str">
        <f t="shared" si="111"/>
        <v>230133</v>
      </c>
      <c r="D4600" s="9" t="str">
        <f>"230909725"</f>
        <v>230909725</v>
      </c>
      <c r="E4600" s="10">
        <v>0</v>
      </c>
      <c r="F4600" s="10"/>
      <c r="G4600" s="10">
        <v>0</v>
      </c>
      <c r="H4600" s="10"/>
      <c r="I4600" s="10">
        <v>0</v>
      </c>
    </row>
    <row r="4601" spans="1:9" ht="21.75" customHeight="1">
      <c r="A4601" s="8" t="s">
        <v>28</v>
      </c>
      <c r="B4601" s="8" t="s">
        <v>16</v>
      </c>
      <c r="C4601" s="9" t="str">
        <f t="shared" si="111"/>
        <v>230133</v>
      </c>
      <c r="D4601" s="9" t="str">
        <f>"230909726"</f>
        <v>230909726</v>
      </c>
      <c r="E4601" s="10">
        <v>0</v>
      </c>
      <c r="F4601" s="10"/>
      <c r="G4601" s="10">
        <v>0</v>
      </c>
      <c r="H4601" s="10"/>
      <c r="I4601" s="10">
        <v>0</v>
      </c>
    </row>
    <row r="4602" spans="1:9" ht="21.75" customHeight="1">
      <c r="A4602" s="8" t="s">
        <v>28</v>
      </c>
      <c r="B4602" s="8" t="s">
        <v>16</v>
      </c>
      <c r="C4602" s="9" t="str">
        <f t="shared" si="111"/>
        <v>230133</v>
      </c>
      <c r="D4602" s="9" t="str">
        <f>"230909727"</f>
        <v>230909727</v>
      </c>
      <c r="E4602" s="10">
        <v>0</v>
      </c>
      <c r="F4602" s="10"/>
      <c r="G4602" s="10">
        <v>0</v>
      </c>
      <c r="H4602" s="10"/>
      <c r="I4602" s="10">
        <v>0</v>
      </c>
    </row>
    <row r="4603" spans="1:9" ht="21.75" customHeight="1">
      <c r="A4603" s="8" t="s">
        <v>28</v>
      </c>
      <c r="B4603" s="8" t="s">
        <v>16</v>
      </c>
      <c r="C4603" s="9" t="str">
        <f t="shared" si="111"/>
        <v>230133</v>
      </c>
      <c r="D4603" s="9" t="str">
        <f>"230909730"</f>
        <v>230909730</v>
      </c>
      <c r="E4603" s="10">
        <v>0</v>
      </c>
      <c r="F4603" s="10"/>
      <c r="G4603" s="10">
        <v>0</v>
      </c>
      <c r="H4603" s="10"/>
      <c r="I4603" s="10">
        <v>0</v>
      </c>
    </row>
    <row r="4604" spans="1:9" ht="21.75" customHeight="1">
      <c r="A4604" s="8" t="s">
        <v>28</v>
      </c>
      <c r="B4604" s="8" t="s">
        <v>16</v>
      </c>
      <c r="C4604" s="9" t="str">
        <f t="shared" si="111"/>
        <v>230133</v>
      </c>
      <c r="D4604" s="9" t="str">
        <f>"230909801"</f>
        <v>230909801</v>
      </c>
      <c r="E4604" s="10">
        <v>0</v>
      </c>
      <c r="F4604" s="10"/>
      <c r="G4604" s="10">
        <v>0</v>
      </c>
      <c r="H4604" s="10"/>
      <c r="I4604" s="10">
        <v>0</v>
      </c>
    </row>
    <row r="4605" spans="1:9" s="1" customFormat="1" ht="21.75" customHeight="1">
      <c r="A4605" s="8" t="s">
        <v>28</v>
      </c>
      <c r="B4605" s="8" t="s">
        <v>16</v>
      </c>
      <c r="C4605" s="9" t="str">
        <f t="shared" si="111"/>
        <v>230133</v>
      </c>
      <c r="D4605" s="9" t="str">
        <f>"230909802"</f>
        <v>230909802</v>
      </c>
      <c r="E4605" s="10">
        <v>0</v>
      </c>
      <c r="F4605" s="10"/>
      <c r="G4605" s="10">
        <v>0</v>
      </c>
      <c r="H4605" s="10"/>
      <c r="I4605" s="10">
        <v>0</v>
      </c>
    </row>
    <row r="4606" spans="1:9" ht="21.75" customHeight="1">
      <c r="A4606" s="8" t="s">
        <v>28</v>
      </c>
      <c r="B4606" s="8" t="s">
        <v>16</v>
      </c>
      <c r="C4606" s="9" t="str">
        <f t="shared" si="111"/>
        <v>230133</v>
      </c>
      <c r="D4606" s="9" t="str">
        <f>"230909806"</f>
        <v>230909806</v>
      </c>
      <c r="E4606" s="10">
        <v>0</v>
      </c>
      <c r="F4606" s="10"/>
      <c r="G4606" s="10">
        <v>0</v>
      </c>
      <c r="H4606" s="10"/>
      <c r="I4606" s="10">
        <v>0</v>
      </c>
    </row>
    <row r="4607" spans="1:9" ht="21.75" customHeight="1">
      <c r="A4607" s="8" t="s">
        <v>28</v>
      </c>
      <c r="B4607" s="8" t="s">
        <v>16</v>
      </c>
      <c r="C4607" s="9" t="str">
        <f t="shared" si="111"/>
        <v>230133</v>
      </c>
      <c r="D4607" s="9" t="str">
        <f>"230909807"</f>
        <v>230909807</v>
      </c>
      <c r="E4607" s="10">
        <v>0</v>
      </c>
      <c r="F4607" s="10"/>
      <c r="G4607" s="10">
        <v>0</v>
      </c>
      <c r="H4607" s="10"/>
      <c r="I4607" s="10">
        <v>0</v>
      </c>
    </row>
    <row r="4608" spans="1:9" s="1" customFormat="1" ht="21.75" customHeight="1">
      <c r="A4608" s="8" t="s">
        <v>28</v>
      </c>
      <c r="B4608" s="8" t="s">
        <v>16</v>
      </c>
      <c r="C4608" s="9" t="str">
        <f t="shared" si="111"/>
        <v>230133</v>
      </c>
      <c r="D4608" s="9" t="str">
        <f>"230909808"</f>
        <v>230909808</v>
      </c>
      <c r="E4608" s="10">
        <v>0</v>
      </c>
      <c r="F4608" s="10"/>
      <c r="G4608" s="10">
        <v>0</v>
      </c>
      <c r="H4608" s="10"/>
      <c r="I4608" s="10">
        <v>0</v>
      </c>
    </row>
    <row r="4609" spans="1:9" ht="21.75" customHeight="1">
      <c r="A4609" s="8" t="s">
        <v>28</v>
      </c>
      <c r="B4609" s="8" t="s">
        <v>16</v>
      </c>
      <c r="C4609" s="9" t="str">
        <f t="shared" si="111"/>
        <v>230133</v>
      </c>
      <c r="D4609" s="9" t="str">
        <f>"230909814"</f>
        <v>230909814</v>
      </c>
      <c r="E4609" s="10">
        <v>0</v>
      </c>
      <c r="F4609" s="10"/>
      <c r="G4609" s="10">
        <v>0</v>
      </c>
      <c r="H4609" s="10"/>
      <c r="I4609" s="10">
        <v>0</v>
      </c>
    </row>
    <row r="4610" spans="1:9" ht="21.75" customHeight="1">
      <c r="A4610" s="8" t="s">
        <v>28</v>
      </c>
      <c r="B4610" s="8" t="s">
        <v>16</v>
      </c>
      <c r="C4610" s="9" t="str">
        <f t="shared" si="111"/>
        <v>230133</v>
      </c>
      <c r="D4610" s="9" t="str">
        <f>"230909815"</f>
        <v>230909815</v>
      </c>
      <c r="E4610" s="10">
        <v>0</v>
      </c>
      <c r="F4610" s="10"/>
      <c r="G4610" s="10">
        <v>0</v>
      </c>
      <c r="H4610" s="10"/>
      <c r="I4610" s="10">
        <v>0</v>
      </c>
    </row>
    <row r="4611" spans="1:9" ht="21.75" customHeight="1">
      <c r="A4611" s="8" t="s">
        <v>28</v>
      </c>
      <c r="B4611" s="8" t="s">
        <v>16</v>
      </c>
      <c r="C4611" s="9" t="str">
        <f t="shared" si="111"/>
        <v>230133</v>
      </c>
      <c r="D4611" s="9" t="str">
        <f>"230909819"</f>
        <v>230909819</v>
      </c>
      <c r="E4611" s="10">
        <v>0</v>
      </c>
      <c r="F4611" s="10"/>
      <c r="G4611" s="10">
        <v>0</v>
      </c>
      <c r="H4611" s="10"/>
      <c r="I4611" s="10">
        <v>0</v>
      </c>
    </row>
    <row r="4612" spans="1:9" ht="21.75" customHeight="1">
      <c r="A4612" s="8" t="s">
        <v>28</v>
      </c>
      <c r="B4612" s="8" t="s">
        <v>16</v>
      </c>
      <c r="C4612" s="9" t="str">
        <f t="shared" si="111"/>
        <v>230133</v>
      </c>
      <c r="D4612" s="9" t="str">
        <f>"230909821"</f>
        <v>230909821</v>
      </c>
      <c r="E4612" s="10">
        <v>0</v>
      </c>
      <c r="F4612" s="10"/>
      <c r="G4612" s="10">
        <v>0</v>
      </c>
      <c r="H4612" s="10"/>
      <c r="I4612" s="10">
        <v>0</v>
      </c>
    </row>
    <row r="4613" spans="1:9" ht="21.75" customHeight="1">
      <c r="A4613" s="8" t="s">
        <v>28</v>
      </c>
      <c r="B4613" s="8" t="s">
        <v>16</v>
      </c>
      <c r="C4613" s="9" t="str">
        <f t="shared" si="111"/>
        <v>230133</v>
      </c>
      <c r="D4613" s="9" t="str">
        <f>"230909823"</f>
        <v>230909823</v>
      </c>
      <c r="E4613" s="10">
        <v>0</v>
      </c>
      <c r="F4613" s="10"/>
      <c r="G4613" s="10">
        <v>0</v>
      </c>
      <c r="H4613" s="10"/>
      <c r="I4613" s="10">
        <v>0</v>
      </c>
    </row>
    <row r="4614" spans="1:9" s="1" customFormat="1" ht="21.75" customHeight="1">
      <c r="A4614" s="8" t="s">
        <v>28</v>
      </c>
      <c r="B4614" s="8" t="s">
        <v>16</v>
      </c>
      <c r="C4614" s="9" t="str">
        <f t="shared" si="111"/>
        <v>230133</v>
      </c>
      <c r="D4614" s="9" t="str">
        <f>"230909829"</f>
        <v>230909829</v>
      </c>
      <c r="E4614" s="10">
        <v>0</v>
      </c>
      <c r="F4614" s="10"/>
      <c r="G4614" s="10">
        <v>0</v>
      </c>
      <c r="H4614" s="10"/>
      <c r="I4614" s="10">
        <v>0</v>
      </c>
    </row>
    <row r="4615" spans="1:9" s="2" customFormat="1" ht="21.75" customHeight="1">
      <c r="A4615" s="8" t="s">
        <v>28</v>
      </c>
      <c r="B4615" s="8" t="s">
        <v>17</v>
      </c>
      <c r="C4615" s="9" t="str">
        <f t="shared" ref="C4615:C4646" si="112">"230134"</f>
        <v>230134</v>
      </c>
      <c r="D4615" s="9" t="str">
        <f>"230910229"</f>
        <v>230910229</v>
      </c>
      <c r="E4615" s="10">
        <v>75.849999999999994</v>
      </c>
      <c r="F4615" s="10"/>
      <c r="G4615" s="10">
        <v>80</v>
      </c>
      <c r="H4615" s="10"/>
      <c r="I4615" s="10">
        <v>78.34</v>
      </c>
    </row>
    <row r="4616" spans="1:9" s="2" customFormat="1" ht="21.75" customHeight="1">
      <c r="A4616" s="8" t="s">
        <v>28</v>
      </c>
      <c r="B4616" s="8" t="s">
        <v>17</v>
      </c>
      <c r="C4616" s="9" t="str">
        <f t="shared" si="112"/>
        <v>230134</v>
      </c>
      <c r="D4616" s="9" t="str">
        <f>"230910219"</f>
        <v>230910219</v>
      </c>
      <c r="E4616" s="10">
        <v>74.92</v>
      </c>
      <c r="F4616" s="10"/>
      <c r="G4616" s="10">
        <v>78</v>
      </c>
      <c r="H4616" s="10"/>
      <c r="I4616" s="10">
        <v>76.77</v>
      </c>
    </row>
    <row r="4617" spans="1:9" s="3" customFormat="1" ht="21.75" customHeight="1">
      <c r="A4617" s="8" t="s">
        <v>28</v>
      </c>
      <c r="B4617" s="8" t="s">
        <v>17</v>
      </c>
      <c r="C4617" s="9" t="str">
        <f t="shared" si="112"/>
        <v>230134</v>
      </c>
      <c r="D4617" s="9" t="str">
        <f>"230910227"</f>
        <v>230910227</v>
      </c>
      <c r="E4617" s="10">
        <v>80.91</v>
      </c>
      <c r="F4617" s="10"/>
      <c r="G4617" s="10">
        <v>74</v>
      </c>
      <c r="H4617" s="10"/>
      <c r="I4617" s="10">
        <v>76.760000000000005</v>
      </c>
    </row>
    <row r="4618" spans="1:9" s="2" customFormat="1" ht="21.75" customHeight="1">
      <c r="A4618" s="8" t="s">
        <v>28</v>
      </c>
      <c r="B4618" s="8" t="s">
        <v>17</v>
      </c>
      <c r="C4618" s="9" t="str">
        <f t="shared" si="112"/>
        <v>230134</v>
      </c>
      <c r="D4618" s="9" t="str">
        <f>"230910122"</f>
        <v>230910122</v>
      </c>
      <c r="E4618" s="10">
        <v>78.599999999999994</v>
      </c>
      <c r="F4618" s="10"/>
      <c r="G4618" s="10">
        <v>75.5</v>
      </c>
      <c r="H4618" s="10"/>
      <c r="I4618" s="10">
        <v>76.739999999999995</v>
      </c>
    </row>
    <row r="4619" spans="1:9" s="2" customFormat="1" ht="21.75" customHeight="1">
      <c r="A4619" s="8" t="s">
        <v>28</v>
      </c>
      <c r="B4619" s="8" t="s">
        <v>17</v>
      </c>
      <c r="C4619" s="9" t="str">
        <f t="shared" si="112"/>
        <v>230134</v>
      </c>
      <c r="D4619" s="9" t="str">
        <f>"230910316"</f>
        <v>230910316</v>
      </c>
      <c r="E4619" s="10">
        <v>77.569999999999993</v>
      </c>
      <c r="F4619" s="10"/>
      <c r="G4619" s="10">
        <v>76</v>
      </c>
      <c r="H4619" s="10"/>
      <c r="I4619" s="10">
        <v>76.63</v>
      </c>
    </row>
    <row r="4620" spans="1:9" s="2" customFormat="1" ht="21.75" customHeight="1">
      <c r="A4620" s="8" t="s">
        <v>28</v>
      </c>
      <c r="B4620" s="8" t="s">
        <v>17</v>
      </c>
      <c r="C4620" s="9" t="str">
        <f t="shared" si="112"/>
        <v>230134</v>
      </c>
      <c r="D4620" s="9" t="str">
        <f>"230910329"</f>
        <v>230910329</v>
      </c>
      <c r="E4620" s="10">
        <v>73.069999999999993</v>
      </c>
      <c r="F4620" s="10"/>
      <c r="G4620" s="10">
        <v>78.5</v>
      </c>
      <c r="H4620" s="10"/>
      <c r="I4620" s="10">
        <v>76.33</v>
      </c>
    </row>
    <row r="4621" spans="1:9" s="2" customFormat="1" ht="21.75" customHeight="1">
      <c r="A4621" s="8" t="s">
        <v>28</v>
      </c>
      <c r="B4621" s="8" t="s">
        <v>17</v>
      </c>
      <c r="C4621" s="9" t="str">
        <f t="shared" si="112"/>
        <v>230134</v>
      </c>
      <c r="D4621" s="9" t="str">
        <f>"230910203"</f>
        <v>230910203</v>
      </c>
      <c r="E4621" s="10">
        <v>78.84</v>
      </c>
      <c r="F4621" s="10"/>
      <c r="G4621" s="10">
        <v>74.5</v>
      </c>
      <c r="H4621" s="10"/>
      <c r="I4621" s="10">
        <v>76.239999999999995</v>
      </c>
    </row>
    <row r="4622" spans="1:9" s="3" customFormat="1" ht="21.75" customHeight="1">
      <c r="A4622" s="8" t="s">
        <v>28</v>
      </c>
      <c r="B4622" s="8" t="s">
        <v>17</v>
      </c>
      <c r="C4622" s="9" t="str">
        <f t="shared" si="112"/>
        <v>230134</v>
      </c>
      <c r="D4622" s="9" t="str">
        <f>"230910317"</f>
        <v>230910317</v>
      </c>
      <c r="E4622" s="10">
        <v>71.81</v>
      </c>
      <c r="F4622" s="10"/>
      <c r="G4622" s="10">
        <v>78.5</v>
      </c>
      <c r="H4622" s="10"/>
      <c r="I4622" s="10">
        <v>75.819999999999993</v>
      </c>
    </row>
    <row r="4623" spans="1:9" s="2" customFormat="1" ht="21.75" customHeight="1">
      <c r="A4623" s="8" t="s">
        <v>28</v>
      </c>
      <c r="B4623" s="8" t="s">
        <v>17</v>
      </c>
      <c r="C4623" s="9" t="str">
        <f t="shared" si="112"/>
        <v>230134</v>
      </c>
      <c r="D4623" s="9" t="str">
        <f>"230910117"</f>
        <v>230910117</v>
      </c>
      <c r="E4623" s="10">
        <v>77.91</v>
      </c>
      <c r="F4623" s="10"/>
      <c r="G4623" s="10">
        <v>73.5</v>
      </c>
      <c r="H4623" s="10"/>
      <c r="I4623" s="10">
        <v>75.260000000000005</v>
      </c>
    </row>
    <row r="4624" spans="1:9" s="2" customFormat="1" ht="21.75" customHeight="1">
      <c r="A4624" s="8" t="s">
        <v>28</v>
      </c>
      <c r="B4624" s="8" t="s">
        <v>17</v>
      </c>
      <c r="C4624" s="9" t="str">
        <f t="shared" si="112"/>
        <v>230134</v>
      </c>
      <c r="D4624" s="9" t="str">
        <f>"230910114"</f>
        <v>230910114</v>
      </c>
      <c r="E4624" s="10">
        <v>72.39</v>
      </c>
      <c r="F4624" s="10"/>
      <c r="G4624" s="10">
        <v>77</v>
      </c>
      <c r="H4624" s="10"/>
      <c r="I4624" s="10">
        <v>75.16</v>
      </c>
    </row>
    <row r="4625" spans="1:9" s="3" customFormat="1" ht="21.75" customHeight="1">
      <c r="A4625" s="8" t="s">
        <v>28</v>
      </c>
      <c r="B4625" s="8" t="s">
        <v>17</v>
      </c>
      <c r="C4625" s="9" t="str">
        <f t="shared" si="112"/>
        <v>230134</v>
      </c>
      <c r="D4625" s="9" t="str">
        <f>"230910221"</f>
        <v>230910221</v>
      </c>
      <c r="E4625" s="10">
        <v>77.55</v>
      </c>
      <c r="F4625" s="10"/>
      <c r="G4625" s="10">
        <v>72.5</v>
      </c>
      <c r="H4625" s="10"/>
      <c r="I4625" s="10">
        <v>74.52</v>
      </c>
    </row>
    <row r="4626" spans="1:9" s="2" customFormat="1" ht="21.75" customHeight="1">
      <c r="A4626" s="8" t="s">
        <v>28</v>
      </c>
      <c r="B4626" s="8" t="s">
        <v>17</v>
      </c>
      <c r="C4626" s="9" t="str">
        <f t="shared" si="112"/>
        <v>230134</v>
      </c>
      <c r="D4626" s="9" t="str">
        <f>"230910123"</f>
        <v>230910123</v>
      </c>
      <c r="E4626" s="10">
        <v>76.430000000000007</v>
      </c>
      <c r="F4626" s="10"/>
      <c r="G4626" s="10">
        <v>73</v>
      </c>
      <c r="H4626" s="10"/>
      <c r="I4626" s="10">
        <v>74.37</v>
      </c>
    </row>
    <row r="4627" spans="1:9" s="3" customFormat="1" ht="21.75" customHeight="1">
      <c r="A4627" s="8" t="s">
        <v>28</v>
      </c>
      <c r="B4627" s="8" t="s">
        <v>17</v>
      </c>
      <c r="C4627" s="9" t="str">
        <f t="shared" si="112"/>
        <v>230134</v>
      </c>
      <c r="D4627" s="9" t="str">
        <f>"230910103"</f>
        <v>230910103</v>
      </c>
      <c r="E4627" s="10">
        <v>78.27</v>
      </c>
      <c r="F4627" s="10"/>
      <c r="G4627" s="10">
        <v>71.5</v>
      </c>
      <c r="H4627" s="10"/>
      <c r="I4627" s="10">
        <v>74.209999999999994</v>
      </c>
    </row>
    <row r="4628" spans="1:9" s="2" customFormat="1" ht="21.75" customHeight="1">
      <c r="A4628" s="8" t="s">
        <v>28</v>
      </c>
      <c r="B4628" s="8" t="s">
        <v>17</v>
      </c>
      <c r="C4628" s="9" t="str">
        <f t="shared" si="112"/>
        <v>230134</v>
      </c>
      <c r="D4628" s="9" t="str">
        <f>"230910128"</f>
        <v>230910128</v>
      </c>
      <c r="E4628" s="10">
        <v>80.89</v>
      </c>
      <c r="F4628" s="10"/>
      <c r="G4628" s="10">
        <v>69.5</v>
      </c>
      <c r="H4628" s="10"/>
      <c r="I4628" s="10">
        <v>74.06</v>
      </c>
    </row>
    <row r="4629" spans="1:9" s="2" customFormat="1" ht="21.75" customHeight="1">
      <c r="A4629" s="8" t="s">
        <v>28</v>
      </c>
      <c r="B4629" s="8" t="s">
        <v>17</v>
      </c>
      <c r="C4629" s="9" t="str">
        <f t="shared" si="112"/>
        <v>230134</v>
      </c>
      <c r="D4629" s="9" t="str">
        <f>"230910024"</f>
        <v>230910024</v>
      </c>
      <c r="E4629" s="10">
        <v>74</v>
      </c>
      <c r="F4629" s="10"/>
      <c r="G4629" s="10">
        <v>74</v>
      </c>
      <c r="H4629" s="10"/>
      <c r="I4629" s="10">
        <v>74</v>
      </c>
    </row>
    <row r="4630" spans="1:9" s="3" customFormat="1" ht="21.75" customHeight="1">
      <c r="A4630" s="8" t="s">
        <v>28</v>
      </c>
      <c r="B4630" s="8" t="s">
        <v>17</v>
      </c>
      <c r="C4630" s="9" t="str">
        <f t="shared" si="112"/>
        <v>230134</v>
      </c>
      <c r="D4630" s="9" t="str">
        <f>"230910220"</f>
        <v>230910220</v>
      </c>
      <c r="E4630" s="10">
        <v>78.25</v>
      </c>
      <c r="F4630" s="10"/>
      <c r="G4630" s="10">
        <v>71</v>
      </c>
      <c r="H4630" s="10"/>
      <c r="I4630" s="10">
        <v>73.900000000000006</v>
      </c>
    </row>
    <row r="4631" spans="1:9" s="2" customFormat="1" ht="21.75" customHeight="1">
      <c r="A4631" s="8" t="s">
        <v>28</v>
      </c>
      <c r="B4631" s="8" t="s">
        <v>17</v>
      </c>
      <c r="C4631" s="9" t="str">
        <f t="shared" si="112"/>
        <v>230134</v>
      </c>
      <c r="D4631" s="9" t="str">
        <f>"230910101"</f>
        <v>230910101</v>
      </c>
      <c r="E4631" s="10">
        <v>72.739999999999995</v>
      </c>
      <c r="F4631" s="10"/>
      <c r="G4631" s="10">
        <v>74.5</v>
      </c>
      <c r="H4631" s="10"/>
      <c r="I4631" s="10">
        <v>73.8</v>
      </c>
    </row>
    <row r="4632" spans="1:9" s="2" customFormat="1" ht="21.75" customHeight="1">
      <c r="A4632" s="8" t="s">
        <v>28</v>
      </c>
      <c r="B4632" s="8" t="s">
        <v>17</v>
      </c>
      <c r="C4632" s="9" t="str">
        <f t="shared" si="112"/>
        <v>230134</v>
      </c>
      <c r="D4632" s="9" t="str">
        <f>"230910019"</f>
        <v>230910019</v>
      </c>
      <c r="E4632" s="10">
        <v>68.48</v>
      </c>
      <c r="F4632" s="10"/>
      <c r="G4632" s="10">
        <v>77</v>
      </c>
      <c r="H4632" s="10"/>
      <c r="I4632" s="10">
        <v>73.59</v>
      </c>
    </row>
    <row r="4633" spans="1:9" s="2" customFormat="1" ht="21.75" customHeight="1">
      <c r="A4633" s="8" t="s">
        <v>28</v>
      </c>
      <c r="B4633" s="8" t="s">
        <v>17</v>
      </c>
      <c r="C4633" s="9" t="str">
        <f t="shared" si="112"/>
        <v>230134</v>
      </c>
      <c r="D4633" s="9" t="str">
        <f>"230910304"</f>
        <v>230910304</v>
      </c>
      <c r="E4633" s="10">
        <v>69.05</v>
      </c>
      <c r="F4633" s="10"/>
      <c r="G4633" s="10">
        <v>76</v>
      </c>
      <c r="H4633" s="10"/>
      <c r="I4633" s="10">
        <v>73.22</v>
      </c>
    </row>
    <row r="4634" spans="1:9" s="2" customFormat="1" ht="21.75" customHeight="1">
      <c r="A4634" s="8" t="s">
        <v>28</v>
      </c>
      <c r="B4634" s="8" t="s">
        <v>17</v>
      </c>
      <c r="C4634" s="9" t="str">
        <f t="shared" si="112"/>
        <v>230134</v>
      </c>
      <c r="D4634" s="9" t="str">
        <f>"230910325"</f>
        <v>230910325</v>
      </c>
      <c r="E4634" s="10">
        <v>71.239999999999995</v>
      </c>
      <c r="F4634" s="10"/>
      <c r="G4634" s="10">
        <v>73.5</v>
      </c>
      <c r="H4634" s="10"/>
      <c r="I4634" s="10">
        <v>72.599999999999994</v>
      </c>
    </row>
    <row r="4635" spans="1:9" s="3" customFormat="1" ht="21.75" customHeight="1">
      <c r="A4635" s="8" t="s">
        <v>28</v>
      </c>
      <c r="B4635" s="8" t="s">
        <v>17</v>
      </c>
      <c r="C4635" s="9" t="str">
        <f t="shared" si="112"/>
        <v>230134</v>
      </c>
      <c r="D4635" s="9" t="str">
        <f>"230910311"</f>
        <v>230910311</v>
      </c>
      <c r="E4635" s="10">
        <v>72.38</v>
      </c>
      <c r="F4635" s="10"/>
      <c r="G4635" s="10">
        <v>72.5</v>
      </c>
      <c r="H4635" s="10"/>
      <c r="I4635" s="10">
        <v>72.45</v>
      </c>
    </row>
    <row r="4636" spans="1:9" s="2" customFormat="1" ht="21.75" customHeight="1">
      <c r="A4636" s="8" t="s">
        <v>28</v>
      </c>
      <c r="B4636" s="8" t="s">
        <v>17</v>
      </c>
      <c r="C4636" s="9" t="str">
        <f t="shared" si="112"/>
        <v>230134</v>
      </c>
      <c r="D4636" s="9" t="str">
        <f>"230910312"</f>
        <v>230910312</v>
      </c>
      <c r="E4636" s="10">
        <v>75.510000000000005</v>
      </c>
      <c r="F4636" s="10"/>
      <c r="G4636" s="10">
        <v>70</v>
      </c>
      <c r="H4636" s="10"/>
      <c r="I4636" s="10">
        <v>72.2</v>
      </c>
    </row>
    <row r="4637" spans="1:9" s="2" customFormat="1" ht="21.75" customHeight="1">
      <c r="A4637" s="8" t="s">
        <v>28</v>
      </c>
      <c r="B4637" s="8" t="s">
        <v>17</v>
      </c>
      <c r="C4637" s="9" t="str">
        <f t="shared" si="112"/>
        <v>230134</v>
      </c>
      <c r="D4637" s="9" t="str">
        <f>"230909830"</f>
        <v>230909830</v>
      </c>
      <c r="E4637" s="10">
        <v>69.27</v>
      </c>
      <c r="F4637" s="10"/>
      <c r="G4637" s="10">
        <v>74</v>
      </c>
      <c r="H4637" s="10"/>
      <c r="I4637" s="10">
        <v>72.11</v>
      </c>
    </row>
    <row r="4638" spans="1:9" s="2" customFormat="1" ht="21.75" customHeight="1">
      <c r="A4638" s="8" t="s">
        <v>28</v>
      </c>
      <c r="B4638" s="8" t="s">
        <v>17</v>
      </c>
      <c r="C4638" s="9" t="str">
        <f t="shared" si="112"/>
        <v>230134</v>
      </c>
      <c r="D4638" s="9" t="str">
        <f>"230909928"</f>
        <v>230909928</v>
      </c>
      <c r="E4638" s="10">
        <v>75.27</v>
      </c>
      <c r="F4638" s="10"/>
      <c r="G4638" s="10">
        <v>70</v>
      </c>
      <c r="H4638" s="10"/>
      <c r="I4638" s="10">
        <v>72.11</v>
      </c>
    </row>
    <row r="4639" spans="1:9" s="2" customFormat="1" ht="21.75" customHeight="1">
      <c r="A4639" s="8" t="s">
        <v>28</v>
      </c>
      <c r="B4639" s="8" t="s">
        <v>17</v>
      </c>
      <c r="C4639" s="9" t="str">
        <f t="shared" si="112"/>
        <v>230134</v>
      </c>
      <c r="D4639" s="9" t="str">
        <f>"230910324"</f>
        <v>230910324</v>
      </c>
      <c r="E4639" s="10">
        <v>71.48</v>
      </c>
      <c r="F4639" s="10"/>
      <c r="G4639" s="10">
        <v>72.5</v>
      </c>
      <c r="H4639" s="10"/>
      <c r="I4639" s="10">
        <v>72.09</v>
      </c>
    </row>
    <row r="4640" spans="1:9" s="2" customFormat="1" ht="21.75" customHeight="1">
      <c r="A4640" s="8" t="s">
        <v>28</v>
      </c>
      <c r="B4640" s="8" t="s">
        <v>17</v>
      </c>
      <c r="C4640" s="9" t="str">
        <f t="shared" si="112"/>
        <v>230134</v>
      </c>
      <c r="D4640" s="9" t="str">
        <f>"230910328"</f>
        <v>230910328</v>
      </c>
      <c r="E4640" s="10">
        <v>71.12</v>
      </c>
      <c r="F4640" s="10"/>
      <c r="G4640" s="10">
        <v>72.5</v>
      </c>
      <c r="H4640" s="10"/>
      <c r="I4640" s="10">
        <v>71.95</v>
      </c>
    </row>
    <row r="4641" spans="1:9" s="2" customFormat="1" ht="21.75" customHeight="1">
      <c r="A4641" s="8" t="s">
        <v>28</v>
      </c>
      <c r="B4641" s="8" t="s">
        <v>17</v>
      </c>
      <c r="C4641" s="9" t="str">
        <f t="shared" si="112"/>
        <v>230134</v>
      </c>
      <c r="D4641" s="9" t="str">
        <f>"230910319"</f>
        <v>230910319</v>
      </c>
      <c r="E4641" s="10">
        <v>69.290000000000006</v>
      </c>
      <c r="F4641" s="10"/>
      <c r="G4641" s="10">
        <v>73.5</v>
      </c>
      <c r="H4641" s="10"/>
      <c r="I4641" s="10">
        <v>71.819999999999993</v>
      </c>
    </row>
    <row r="4642" spans="1:9" s="2" customFormat="1" ht="21.75" customHeight="1">
      <c r="A4642" s="8" t="s">
        <v>28</v>
      </c>
      <c r="B4642" s="8" t="s">
        <v>17</v>
      </c>
      <c r="C4642" s="9" t="str">
        <f t="shared" si="112"/>
        <v>230134</v>
      </c>
      <c r="D4642" s="9" t="str">
        <f>"230910330"</f>
        <v>230910330</v>
      </c>
      <c r="E4642" s="10">
        <v>68.25</v>
      </c>
      <c r="F4642" s="10"/>
      <c r="G4642" s="10">
        <v>74</v>
      </c>
      <c r="H4642" s="10"/>
      <c r="I4642" s="10">
        <v>71.7</v>
      </c>
    </row>
    <row r="4643" spans="1:9" s="3" customFormat="1" ht="21.75" customHeight="1">
      <c r="A4643" s="8" t="s">
        <v>28</v>
      </c>
      <c r="B4643" s="8" t="s">
        <v>17</v>
      </c>
      <c r="C4643" s="9" t="str">
        <f t="shared" si="112"/>
        <v>230134</v>
      </c>
      <c r="D4643" s="9" t="str">
        <f>"230910207"</f>
        <v>230910207</v>
      </c>
      <c r="E4643" s="10">
        <v>61.48</v>
      </c>
      <c r="F4643" s="10"/>
      <c r="G4643" s="10">
        <v>78.5</v>
      </c>
      <c r="H4643" s="10"/>
      <c r="I4643" s="10">
        <v>71.69</v>
      </c>
    </row>
    <row r="4644" spans="1:9" s="3" customFormat="1" ht="21.75" customHeight="1">
      <c r="A4644" s="8" t="s">
        <v>28</v>
      </c>
      <c r="B4644" s="8" t="s">
        <v>17</v>
      </c>
      <c r="C4644" s="9" t="str">
        <f t="shared" si="112"/>
        <v>230134</v>
      </c>
      <c r="D4644" s="9" t="str">
        <f>"230910212"</f>
        <v>230910212</v>
      </c>
      <c r="E4644" s="10">
        <v>68.84</v>
      </c>
      <c r="F4644" s="10"/>
      <c r="G4644" s="10">
        <v>73.5</v>
      </c>
      <c r="H4644" s="10"/>
      <c r="I4644" s="10">
        <v>71.64</v>
      </c>
    </row>
    <row r="4645" spans="1:9" s="2" customFormat="1" ht="21.75" customHeight="1">
      <c r="A4645" s="8" t="s">
        <v>28</v>
      </c>
      <c r="B4645" s="8" t="s">
        <v>17</v>
      </c>
      <c r="C4645" s="9" t="str">
        <f t="shared" si="112"/>
        <v>230134</v>
      </c>
      <c r="D4645" s="9" t="str">
        <f>"230910009"</f>
        <v>230910009</v>
      </c>
      <c r="E4645" s="10">
        <v>74.59</v>
      </c>
      <c r="F4645" s="10"/>
      <c r="G4645" s="10">
        <v>69.5</v>
      </c>
      <c r="H4645" s="10"/>
      <c r="I4645" s="10">
        <v>71.540000000000006</v>
      </c>
    </row>
    <row r="4646" spans="1:9" s="2" customFormat="1" ht="21.75" customHeight="1">
      <c r="A4646" s="8" t="s">
        <v>28</v>
      </c>
      <c r="B4646" s="8" t="s">
        <v>17</v>
      </c>
      <c r="C4646" s="9" t="str">
        <f t="shared" si="112"/>
        <v>230134</v>
      </c>
      <c r="D4646" s="9" t="str">
        <f>"230910111"</f>
        <v>230910111</v>
      </c>
      <c r="E4646" s="10">
        <v>76.06</v>
      </c>
      <c r="F4646" s="10"/>
      <c r="G4646" s="10">
        <v>68.5</v>
      </c>
      <c r="H4646" s="10"/>
      <c r="I4646" s="10">
        <v>71.52</v>
      </c>
    </row>
    <row r="4647" spans="1:9" s="3" customFormat="1" ht="21.75" customHeight="1">
      <c r="A4647" s="8" t="s">
        <v>28</v>
      </c>
      <c r="B4647" s="8" t="s">
        <v>17</v>
      </c>
      <c r="C4647" s="9" t="str">
        <f t="shared" ref="C4647:C4678" si="113">"230134"</f>
        <v>230134</v>
      </c>
      <c r="D4647" s="9" t="str">
        <f>"230910118"</f>
        <v>230910118</v>
      </c>
      <c r="E4647" s="10">
        <v>69.98</v>
      </c>
      <c r="F4647" s="10"/>
      <c r="G4647" s="10">
        <v>72.5</v>
      </c>
      <c r="H4647" s="10"/>
      <c r="I4647" s="10">
        <v>71.489999999999995</v>
      </c>
    </row>
    <row r="4648" spans="1:9" s="2" customFormat="1" ht="21.75" customHeight="1">
      <c r="A4648" s="8" t="s">
        <v>28</v>
      </c>
      <c r="B4648" s="8" t="s">
        <v>17</v>
      </c>
      <c r="C4648" s="9" t="str">
        <f t="shared" si="113"/>
        <v>230134</v>
      </c>
      <c r="D4648" s="9" t="str">
        <f>"230910204"</f>
        <v>230910204</v>
      </c>
      <c r="E4648" s="10">
        <v>73.650000000000006</v>
      </c>
      <c r="F4648" s="10"/>
      <c r="G4648" s="10">
        <v>70</v>
      </c>
      <c r="H4648" s="10"/>
      <c r="I4648" s="10">
        <v>71.459999999999994</v>
      </c>
    </row>
    <row r="4649" spans="1:9" s="3" customFormat="1" ht="21.75" customHeight="1">
      <c r="A4649" s="8" t="s">
        <v>28</v>
      </c>
      <c r="B4649" s="8" t="s">
        <v>17</v>
      </c>
      <c r="C4649" s="9" t="str">
        <f t="shared" si="113"/>
        <v>230134</v>
      </c>
      <c r="D4649" s="9" t="str">
        <f>"230910206"</f>
        <v>230910206</v>
      </c>
      <c r="E4649" s="10">
        <v>73.66</v>
      </c>
      <c r="F4649" s="10"/>
      <c r="G4649" s="10">
        <v>70</v>
      </c>
      <c r="H4649" s="10"/>
      <c r="I4649" s="10">
        <v>71.459999999999994</v>
      </c>
    </row>
    <row r="4650" spans="1:9" s="2" customFormat="1" ht="21.75" customHeight="1">
      <c r="A4650" s="8" t="s">
        <v>28</v>
      </c>
      <c r="B4650" s="8" t="s">
        <v>17</v>
      </c>
      <c r="C4650" s="9" t="str">
        <f t="shared" si="113"/>
        <v>230134</v>
      </c>
      <c r="D4650" s="9" t="str">
        <f>"230909915"</f>
        <v>230909915</v>
      </c>
      <c r="E4650" s="10">
        <v>65.37</v>
      </c>
      <c r="F4650" s="10"/>
      <c r="G4650" s="10">
        <v>75.5</v>
      </c>
      <c r="H4650" s="10"/>
      <c r="I4650" s="10">
        <v>71.45</v>
      </c>
    </row>
    <row r="4651" spans="1:9" s="2" customFormat="1" ht="21.75" customHeight="1">
      <c r="A4651" s="8" t="s">
        <v>28</v>
      </c>
      <c r="B4651" s="8" t="s">
        <v>17</v>
      </c>
      <c r="C4651" s="9" t="str">
        <f t="shared" si="113"/>
        <v>230134</v>
      </c>
      <c r="D4651" s="9" t="str">
        <f>"230910108"</f>
        <v>230910108</v>
      </c>
      <c r="E4651" s="10">
        <v>62.15</v>
      </c>
      <c r="F4651" s="10"/>
      <c r="G4651" s="10">
        <v>77.5</v>
      </c>
      <c r="H4651" s="10"/>
      <c r="I4651" s="10">
        <v>71.36</v>
      </c>
    </row>
    <row r="4652" spans="1:9" s="2" customFormat="1" ht="21.75" customHeight="1">
      <c r="A4652" s="8" t="s">
        <v>28</v>
      </c>
      <c r="B4652" s="8" t="s">
        <v>17</v>
      </c>
      <c r="C4652" s="9" t="str">
        <f t="shared" si="113"/>
        <v>230134</v>
      </c>
      <c r="D4652" s="9" t="str">
        <f>"230910116"</f>
        <v>230910116</v>
      </c>
      <c r="E4652" s="10">
        <v>81.010000000000005</v>
      </c>
      <c r="F4652" s="10"/>
      <c r="G4652" s="10">
        <v>64.5</v>
      </c>
      <c r="H4652" s="10"/>
      <c r="I4652" s="10">
        <v>71.099999999999994</v>
      </c>
    </row>
    <row r="4653" spans="1:9" s="2" customFormat="1" ht="21.75" customHeight="1">
      <c r="A4653" s="8" t="s">
        <v>28</v>
      </c>
      <c r="B4653" s="8" t="s">
        <v>17</v>
      </c>
      <c r="C4653" s="9" t="str">
        <f t="shared" si="113"/>
        <v>230134</v>
      </c>
      <c r="D4653" s="9" t="str">
        <f>"230910202"</f>
        <v>230910202</v>
      </c>
      <c r="E4653" s="10">
        <v>71.92</v>
      </c>
      <c r="F4653" s="10"/>
      <c r="G4653" s="10">
        <v>70.5</v>
      </c>
      <c r="H4653" s="10"/>
      <c r="I4653" s="10">
        <v>71.069999999999993</v>
      </c>
    </row>
    <row r="4654" spans="1:9" s="2" customFormat="1" ht="21.75" customHeight="1">
      <c r="A4654" s="8" t="s">
        <v>28</v>
      </c>
      <c r="B4654" s="8" t="s">
        <v>17</v>
      </c>
      <c r="C4654" s="9" t="str">
        <f t="shared" si="113"/>
        <v>230134</v>
      </c>
      <c r="D4654" s="9" t="str">
        <f>"230909910"</f>
        <v>230909910</v>
      </c>
      <c r="E4654" s="10">
        <v>71.25</v>
      </c>
      <c r="F4654" s="10"/>
      <c r="G4654" s="10">
        <v>70.5</v>
      </c>
      <c r="H4654" s="10"/>
      <c r="I4654" s="10">
        <v>70.8</v>
      </c>
    </row>
    <row r="4655" spans="1:9" s="3" customFormat="1" ht="21.75" customHeight="1">
      <c r="A4655" s="8" t="s">
        <v>28</v>
      </c>
      <c r="B4655" s="8" t="s">
        <v>17</v>
      </c>
      <c r="C4655" s="9" t="str">
        <f t="shared" si="113"/>
        <v>230134</v>
      </c>
      <c r="D4655" s="9" t="str">
        <f>"230910302"</f>
        <v>230910302</v>
      </c>
      <c r="E4655" s="10">
        <v>73.989999999999995</v>
      </c>
      <c r="F4655" s="10"/>
      <c r="G4655" s="10">
        <v>68.5</v>
      </c>
      <c r="H4655" s="10"/>
      <c r="I4655" s="10">
        <v>70.7</v>
      </c>
    </row>
    <row r="4656" spans="1:9" s="2" customFormat="1" ht="21.75" customHeight="1">
      <c r="A4656" s="8" t="s">
        <v>28</v>
      </c>
      <c r="B4656" s="8" t="s">
        <v>17</v>
      </c>
      <c r="C4656" s="9" t="str">
        <f t="shared" si="113"/>
        <v>230134</v>
      </c>
      <c r="D4656" s="9" t="str">
        <f>"230910006"</f>
        <v>230910006</v>
      </c>
      <c r="E4656" s="10">
        <v>66.400000000000006</v>
      </c>
      <c r="F4656" s="10"/>
      <c r="G4656" s="10">
        <v>73.5</v>
      </c>
      <c r="H4656" s="10"/>
      <c r="I4656" s="10">
        <v>70.66</v>
      </c>
    </row>
    <row r="4657" spans="1:9" s="3" customFormat="1" ht="21.75" customHeight="1">
      <c r="A4657" s="8" t="s">
        <v>28</v>
      </c>
      <c r="B4657" s="8" t="s">
        <v>17</v>
      </c>
      <c r="C4657" s="9" t="str">
        <f t="shared" si="113"/>
        <v>230134</v>
      </c>
      <c r="D4657" s="9" t="str">
        <f>"230910301"</f>
        <v>230910301</v>
      </c>
      <c r="E4657" s="10">
        <v>69.39</v>
      </c>
      <c r="F4657" s="10"/>
      <c r="G4657" s="10">
        <v>71.5</v>
      </c>
      <c r="H4657" s="10"/>
      <c r="I4657" s="10">
        <v>70.66</v>
      </c>
    </row>
    <row r="4658" spans="1:9" s="3" customFormat="1" ht="21.75" customHeight="1">
      <c r="A4658" s="8" t="s">
        <v>28</v>
      </c>
      <c r="B4658" s="8" t="s">
        <v>17</v>
      </c>
      <c r="C4658" s="9" t="str">
        <f t="shared" si="113"/>
        <v>230134</v>
      </c>
      <c r="D4658" s="9" t="str">
        <f>"230910209"</f>
        <v>230910209</v>
      </c>
      <c r="E4658" s="10">
        <v>67</v>
      </c>
      <c r="F4658" s="10"/>
      <c r="G4658" s="10">
        <v>73</v>
      </c>
      <c r="H4658" s="10"/>
      <c r="I4658" s="10">
        <v>70.599999999999994</v>
      </c>
    </row>
    <row r="4659" spans="1:9" s="2" customFormat="1" ht="21.75" customHeight="1">
      <c r="A4659" s="8" t="s">
        <v>28</v>
      </c>
      <c r="B4659" s="8" t="s">
        <v>17</v>
      </c>
      <c r="C4659" s="9" t="str">
        <f t="shared" si="113"/>
        <v>230134</v>
      </c>
      <c r="D4659" s="9" t="str">
        <f>"230910127"</f>
        <v>230910127</v>
      </c>
      <c r="E4659" s="10">
        <v>66.069999999999993</v>
      </c>
      <c r="F4659" s="10"/>
      <c r="G4659" s="10">
        <v>73.5</v>
      </c>
      <c r="H4659" s="10"/>
      <c r="I4659" s="10">
        <v>70.53</v>
      </c>
    </row>
    <row r="4660" spans="1:9" s="2" customFormat="1" ht="21.75" customHeight="1">
      <c r="A4660" s="8" t="s">
        <v>28</v>
      </c>
      <c r="B4660" s="8" t="s">
        <v>17</v>
      </c>
      <c r="C4660" s="9" t="str">
        <f t="shared" si="113"/>
        <v>230134</v>
      </c>
      <c r="D4660" s="9" t="str">
        <f>"230910020"</f>
        <v>230910020</v>
      </c>
      <c r="E4660" s="10">
        <v>69.75</v>
      </c>
      <c r="F4660" s="10"/>
      <c r="G4660" s="10">
        <v>71</v>
      </c>
      <c r="H4660" s="10"/>
      <c r="I4660" s="10">
        <v>70.5</v>
      </c>
    </row>
    <row r="4661" spans="1:9" s="2" customFormat="1" ht="21.75" customHeight="1">
      <c r="A4661" s="8" t="s">
        <v>28</v>
      </c>
      <c r="B4661" s="8" t="s">
        <v>17</v>
      </c>
      <c r="C4661" s="9" t="str">
        <f t="shared" si="113"/>
        <v>230134</v>
      </c>
      <c r="D4661" s="9" t="str">
        <f>"230910120"</f>
        <v>230910120</v>
      </c>
      <c r="E4661" s="10">
        <v>71.95</v>
      </c>
      <c r="F4661" s="10"/>
      <c r="G4661" s="10">
        <v>69.5</v>
      </c>
      <c r="H4661" s="10"/>
      <c r="I4661" s="10">
        <v>70.48</v>
      </c>
    </row>
    <row r="4662" spans="1:9" s="2" customFormat="1" ht="21.75" customHeight="1">
      <c r="A4662" s="8" t="s">
        <v>28</v>
      </c>
      <c r="B4662" s="8" t="s">
        <v>17</v>
      </c>
      <c r="C4662" s="9" t="str">
        <f t="shared" si="113"/>
        <v>230134</v>
      </c>
      <c r="D4662" s="9" t="str">
        <f>"230910326"</f>
        <v>230910326</v>
      </c>
      <c r="E4662" s="10">
        <v>69.510000000000005</v>
      </c>
      <c r="F4662" s="10"/>
      <c r="G4662" s="10">
        <v>71</v>
      </c>
      <c r="H4662" s="10"/>
      <c r="I4662" s="10">
        <v>70.400000000000006</v>
      </c>
    </row>
    <row r="4663" spans="1:9" s="2" customFormat="1" ht="21.75" customHeight="1">
      <c r="A4663" s="8" t="s">
        <v>28</v>
      </c>
      <c r="B4663" s="8" t="s">
        <v>17</v>
      </c>
      <c r="C4663" s="9" t="str">
        <f t="shared" si="113"/>
        <v>230134</v>
      </c>
      <c r="D4663" s="9" t="str">
        <f>"230910003"</f>
        <v>230910003</v>
      </c>
      <c r="E4663" s="10">
        <v>65.72</v>
      </c>
      <c r="F4663" s="10"/>
      <c r="G4663" s="10">
        <v>73.5</v>
      </c>
      <c r="H4663" s="10"/>
      <c r="I4663" s="10">
        <v>70.39</v>
      </c>
    </row>
    <row r="4664" spans="1:9" s="2" customFormat="1" ht="21.75" customHeight="1">
      <c r="A4664" s="8" t="s">
        <v>28</v>
      </c>
      <c r="B4664" s="8" t="s">
        <v>17</v>
      </c>
      <c r="C4664" s="9" t="str">
        <f t="shared" si="113"/>
        <v>230134</v>
      </c>
      <c r="D4664" s="9" t="str">
        <f>"230910104"</f>
        <v>230910104</v>
      </c>
      <c r="E4664" s="10">
        <v>64.8</v>
      </c>
      <c r="F4664" s="10"/>
      <c r="G4664" s="10">
        <v>74</v>
      </c>
      <c r="H4664" s="10"/>
      <c r="I4664" s="10">
        <v>70.319999999999993</v>
      </c>
    </row>
    <row r="4665" spans="1:9" s="2" customFormat="1" ht="21.75" customHeight="1">
      <c r="A4665" s="8" t="s">
        <v>28</v>
      </c>
      <c r="B4665" s="8" t="s">
        <v>17</v>
      </c>
      <c r="C4665" s="9" t="str">
        <f t="shared" si="113"/>
        <v>230134</v>
      </c>
      <c r="D4665" s="9" t="str">
        <f>"230910307"</f>
        <v>230910307</v>
      </c>
      <c r="E4665" s="10">
        <v>66.3</v>
      </c>
      <c r="F4665" s="10"/>
      <c r="G4665" s="10">
        <v>73</v>
      </c>
      <c r="H4665" s="10"/>
      <c r="I4665" s="10">
        <v>70.319999999999993</v>
      </c>
    </row>
    <row r="4666" spans="1:9" s="2" customFormat="1" ht="21.75" customHeight="1">
      <c r="A4666" s="8" t="s">
        <v>28</v>
      </c>
      <c r="B4666" s="8" t="s">
        <v>17</v>
      </c>
      <c r="C4666" s="9" t="str">
        <f t="shared" si="113"/>
        <v>230134</v>
      </c>
      <c r="D4666" s="9" t="str">
        <f>"230910208"</f>
        <v>230910208</v>
      </c>
      <c r="E4666" s="10">
        <v>79.739999999999995</v>
      </c>
      <c r="F4666" s="10"/>
      <c r="G4666" s="10">
        <v>64</v>
      </c>
      <c r="H4666" s="10"/>
      <c r="I4666" s="10">
        <v>70.3</v>
      </c>
    </row>
    <row r="4667" spans="1:9" s="3" customFormat="1" ht="21.75" customHeight="1">
      <c r="A4667" s="8" t="s">
        <v>28</v>
      </c>
      <c r="B4667" s="8" t="s">
        <v>17</v>
      </c>
      <c r="C4667" s="9" t="str">
        <f t="shared" si="113"/>
        <v>230134</v>
      </c>
      <c r="D4667" s="9" t="str">
        <f>"230910306"</f>
        <v>230910306</v>
      </c>
      <c r="E4667" s="10">
        <v>60.89</v>
      </c>
      <c r="F4667" s="10"/>
      <c r="G4667" s="10">
        <v>76.5</v>
      </c>
      <c r="H4667" s="10"/>
      <c r="I4667" s="10">
        <v>70.260000000000005</v>
      </c>
    </row>
    <row r="4668" spans="1:9" s="2" customFormat="1" ht="21.75" customHeight="1">
      <c r="A4668" s="8" t="s">
        <v>28</v>
      </c>
      <c r="B4668" s="8" t="s">
        <v>17</v>
      </c>
      <c r="C4668" s="9" t="str">
        <f t="shared" si="113"/>
        <v>230134</v>
      </c>
      <c r="D4668" s="9" t="str">
        <f>"230909911"</f>
        <v>230909911</v>
      </c>
      <c r="E4668" s="10">
        <v>74.25</v>
      </c>
      <c r="F4668" s="10"/>
      <c r="G4668" s="10">
        <v>67.5</v>
      </c>
      <c r="H4668" s="10"/>
      <c r="I4668" s="10">
        <v>70.2</v>
      </c>
    </row>
    <row r="4669" spans="1:9" s="2" customFormat="1" ht="21.75" customHeight="1">
      <c r="A4669" s="8" t="s">
        <v>28</v>
      </c>
      <c r="B4669" s="8" t="s">
        <v>17</v>
      </c>
      <c r="C4669" s="9" t="str">
        <f t="shared" si="113"/>
        <v>230134</v>
      </c>
      <c r="D4669" s="9" t="str">
        <f>"230910226"</f>
        <v>230910226</v>
      </c>
      <c r="E4669" s="10">
        <v>68.13</v>
      </c>
      <c r="F4669" s="10"/>
      <c r="G4669" s="10">
        <v>71.5</v>
      </c>
      <c r="H4669" s="10"/>
      <c r="I4669" s="10">
        <v>70.150000000000006</v>
      </c>
    </row>
    <row r="4670" spans="1:9" s="3" customFormat="1" ht="21.75" customHeight="1">
      <c r="A4670" s="8" t="s">
        <v>28</v>
      </c>
      <c r="B4670" s="8" t="s">
        <v>17</v>
      </c>
      <c r="C4670" s="9" t="str">
        <f t="shared" si="113"/>
        <v>230134</v>
      </c>
      <c r="D4670" s="9" t="str">
        <f>"230910015"</f>
        <v>230910015</v>
      </c>
      <c r="E4670" s="10">
        <v>67.34</v>
      </c>
      <c r="F4670" s="10"/>
      <c r="G4670" s="10">
        <v>72</v>
      </c>
      <c r="H4670" s="10"/>
      <c r="I4670" s="10">
        <v>70.14</v>
      </c>
    </row>
    <row r="4671" spans="1:9" s="3" customFormat="1" ht="21.75" customHeight="1">
      <c r="A4671" s="8" t="s">
        <v>28</v>
      </c>
      <c r="B4671" s="8" t="s">
        <v>17</v>
      </c>
      <c r="C4671" s="9" t="str">
        <f t="shared" si="113"/>
        <v>230134</v>
      </c>
      <c r="D4671" s="9" t="str">
        <f>"230910124"</f>
        <v>230910124</v>
      </c>
      <c r="E4671" s="10">
        <v>70.3</v>
      </c>
      <c r="F4671" s="10"/>
      <c r="G4671" s="10">
        <v>70</v>
      </c>
      <c r="H4671" s="10"/>
      <c r="I4671" s="10">
        <v>70.12</v>
      </c>
    </row>
    <row r="4672" spans="1:9" s="3" customFormat="1" ht="21.75" customHeight="1">
      <c r="A4672" s="8" t="s">
        <v>28</v>
      </c>
      <c r="B4672" s="8" t="s">
        <v>17</v>
      </c>
      <c r="C4672" s="9" t="str">
        <f t="shared" si="113"/>
        <v>230134</v>
      </c>
      <c r="D4672" s="9" t="str">
        <f>"230909902"</f>
        <v>230909902</v>
      </c>
      <c r="E4672" s="10">
        <v>71.37</v>
      </c>
      <c r="F4672" s="10"/>
      <c r="G4672" s="10">
        <v>69</v>
      </c>
      <c r="H4672" s="10"/>
      <c r="I4672" s="10">
        <v>69.95</v>
      </c>
    </row>
    <row r="4673" spans="1:9" s="3" customFormat="1" ht="21.75" customHeight="1">
      <c r="A4673" s="8" t="s">
        <v>28</v>
      </c>
      <c r="B4673" s="8" t="s">
        <v>17</v>
      </c>
      <c r="C4673" s="9" t="str">
        <f t="shared" si="113"/>
        <v>230134</v>
      </c>
      <c r="D4673" s="9" t="str">
        <f>"230910121"</f>
        <v>230910121</v>
      </c>
      <c r="E4673" s="10">
        <v>66.989999999999995</v>
      </c>
      <c r="F4673" s="10"/>
      <c r="G4673" s="10">
        <v>71</v>
      </c>
      <c r="H4673" s="10"/>
      <c r="I4673" s="10">
        <v>69.400000000000006</v>
      </c>
    </row>
    <row r="4674" spans="1:9" s="3" customFormat="1" ht="21.75" customHeight="1">
      <c r="A4674" s="8" t="s">
        <v>28</v>
      </c>
      <c r="B4674" s="8" t="s">
        <v>17</v>
      </c>
      <c r="C4674" s="9" t="str">
        <f t="shared" si="113"/>
        <v>230134</v>
      </c>
      <c r="D4674" s="9" t="str">
        <f>"230910126"</f>
        <v>230910126</v>
      </c>
      <c r="E4674" s="10">
        <v>71.459999999999994</v>
      </c>
      <c r="F4674" s="10"/>
      <c r="G4674" s="10">
        <v>68</v>
      </c>
      <c r="H4674" s="10"/>
      <c r="I4674" s="10">
        <v>69.38</v>
      </c>
    </row>
    <row r="4675" spans="1:9" s="2" customFormat="1" ht="21.75" customHeight="1">
      <c r="A4675" s="8" t="s">
        <v>28</v>
      </c>
      <c r="B4675" s="8" t="s">
        <v>17</v>
      </c>
      <c r="C4675" s="9" t="str">
        <f t="shared" si="113"/>
        <v>230134</v>
      </c>
      <c r="D4675" s="9" t="str">
        <f>"230909905"</f>
        <v>230909905</v>
      </c>
      <c r="E4675" s="10">
        <v>70.56</v>
      </c>
      <c r="F4675" s="10"/>
      <c r="G4675" s="10">
        <v>68.5</v>
      </c>
      <c r="H4675" s="10"/>
      <c r="I4675" s="10">
        <v>69.319999999999993</v>
      </c>
    </row>
    <row r="4676" spans="1:9" s="2" customFormat="1" ht="21.75" customHeight="1">
      <c r="A4676" s="8" t="s">
        <v>28</v>
      </c>
      <c r="B4676" s="8" t="s">
        <v>17</v>
      </c>
      <c r="C4676" s="9" t="str">
        <f t="shared" si="113"/>
        <v>230134</v>
      </c>
      <c r="D4676" s="9" t="str">
        <f>"230910109"</f>
        <v>230910109</v>
      </c>
      <c r="E4676" s="10">
        <v>72.05</v>
      </c>
      <c r="F4676" s="10"/>
      <c r="G4676" s="10">
        <v>67.5</v>
      </c>
      <c r="H4676" s="10"/>
      <c r="I4676" s="10">
        <v>69.319999999999993</v>
      </c>
    </row>
    <row r="4677" spans="1:9" s="2" customFormat="1" ht="21.75" customHeight="1">
      <c r="A4677" s="8" t="s">
        <v>28</v>
      </c>
      <c r="B4677" s="8" t="s">
        <v>17</v>
      </c>
      <c r="C4677" s="9" t="str">
        <f t="shared" si="113"/>
        <v>230134</v>
      </c>
      <c r="D4677" s="9" t="str">
        <f>"230910309"</f>
        <v>230910309</v>
      </c>
      <c r="E4677" s="10">
        <v>70.89</v>
      </c>
      <c r="F4677" s="10"/>
      <c r="G4677" s="10">
        <v>68</v>
      </c>
      <c r="H4677" s="10"/>
      <c r="I4677" s="10">
        <v>69.16</v>
      </c>
    </row>
    <row r="4678" spans="1:9" s="2" customFormat="1" ht="21.75" customHeight="1">
      <c r="A4678" s="8" t="s">
        <v>28</v>
      </c>
      <c r="B4678" s="8" t="s">
        <v>17</v>
      </c>
      <c r="C4678" s="9" t="str">
        <f t="shared" si="113"/>
        <v>230134</v>
      </c>
      <c r="D4678" s="9" t="str">
        <f>"230909912"</f>
        <v>230909912</v>
      </c>
      <c r="E4678" s="10">
        <v>57.68</v>
      </c>
      <c r="F4678" s="10"/>
      <c r="G4678" s="10">
        <v>76.5</v>
      </c>
      <c r="H4678" s="10"/>
      <c r="I4678" s="10">
        <v>68.97</v>
      </c>
    </row>
    <row r="4679" spans="1:9" s="2" customFormat="1" ht="21.75" customHeight="1">
      <c r="A4679" s="8" t="s">
        <v>28</v>
      </c>
      <c r="B4679" s="8" t="s">
        <v>17</v>
      </c>
      <c r="C4679" s="9" t="str">
        <f t="shared" ref="C4679:C4710" si="114">"230134"</f>
        <v>230134</v>
      </c>
      <c r="D4679" s="9" t="str">
        <f>"230910001"</f>
        <v>230910001</v>
      </c>
      <c r="E4679" s="10">
        <v>74.8</v>
      </c>
      <c r="F4679" s="10"/>
      <c r="G4679" s="10">
        <v>65</v>
      </c>
      <c r="H4679" s="10"/>
      <c r="I4679" s="10">
        <v>68.92</v>
      </c>
    </row>
    <row r="4680" spans="1:9" s="2" customFormat="1" ht="21.75" customHeight="1">
      <c r="A4680" s="8" t="s">
        <v>28</v>
      </c>
      <c r="B4680" s="8" t="s">
        <v>17</v>
      </c>
      <c r="C4680" s="9" t="str">
        <f t="shared" si="114"/>
        <v>230134</v>
      </c>
      <c r="D4680" s="9" t="str">
        <f>"230910012"</f>
        <v>230910012</v>
      </c>
      <c r="E4680" s="10">
        <v>64.45</v>
      </c>
      <c r="F4680" s="10"/>
      <c r="G4680" s="10">
        <v>71.5</v>
      </c>
      <c r="H4680" s="10"/>
      <c r="I4680" s="10">
        <v>68.680000000000007</v>
      </c>
    </row>
    <row r="4681" spans="1:9" s="3" customFormat="1" ht="21.75" customHeight="1">
      <c r="A4681" s="8" t="s">
        <v>28</v>
      </c>
      <c r="B4681" s="8" t="s">
        <v>17</v>
      </c>
      <c r="C4681" s="9" t="str">
        <f t="shared" si="114"/>
        <v>230134</v>
      </c>
      <c r="D4681" s="9" t="str">
        <f>"230910327"</f>
        <v>230910327</v>
      </c>
      <c r="E4681" s="10">
        <v>69.27</v>
      </c>
      <c r="F4681" s="10"/>
      <c r="G4681" s="10">
        <v>68</v>
      </c>
      <c r="H4681" s="10"/>
      <c r="I4681" s="10">
        <v>68.510000000000005</v>
      </c>
    </row>
    <row r="4682" spans="1:9" s="2" customFormat="1" ht="21.75" customHeight="1">
      <c r="A4682" s="8" t="s">
        <v>28</v>
      </c>
      <c r="B4682" s="8" t="s">
        <v>17</v>
      </c>
      <c r="C4682" s="9" t="str">
        <f t="shared" si="114"/>
        <v>230134</v>
      </c>
      <c r="D4682" s="9" t="str">
        <f>"230910010"</f>
        <v>230910010</v>
      </c>
      <c r="E4682" s="10">
        <v>59.77</v>
      </c>
      <c r="F4682" s="10"/>
      <c r="G4682" s="10">
        <v>73.5</v>
      </c>
      <c r="H4682" s="10"/>
      <c r="I4682" s="10">
        <v>68.010000000000005</v>
      </c>
    </row>
    <row r="4683" spans="1:9" s="3" customFormat="1" ht="21.75" customHeight="1">
      <c r="A4683" s="8" t="s">
        <v>28</v>
      </c>
      <c r="B4683" s="8" t="s">
        <v>17</v>
      </c>
      <c r="C4683" s="9" t="str">
        <f t="shared" si="114"/>
        <v>230134</v>
      </c>
      <c r="D4683" s="9" t="str">
        <f>"230910323"</f>
        <v>230910323</v>
      </c>
      <c r="E4683" s="10">
        <v>67.44</v>
      </c>
      <c r="F4683" s="10"/>
      <c r="G4683" s="10">
        <v>68</v>
      </c>
      <c r="H4683" s="10"/>
      <c r="I4683" s="10">
        <v>67.78</v>
      </c>
    </row>
    <row r="4684" spans="1:9" s="2" customFormat="1" ht="21.75" customHeight="1">
      <c r="A4684" s="8" t="s">
        <v>28</v>
      </c>
      <c r="B4684" s="8" t="s">
        <v>17</v>
      </c>
      <c r="C4684" s="9" t="str">
        <f t="shared" si="114"/>
        <v>230134</v>
      </c>
      <c r="D4684" s="9" t="str">
        <f>"230910205"</f>
        <v>230910205</v>
      </c>
      <c r="E4684" s="10">
        <v>60.67</v>
      </c>
      <c r="F4684" s="10"/>
      <c r="G4684" s="10">
        <v>72.5</v>
      </c>
      <c r="H4684" s="10"/>
      <c r="I4684" s="10">
        <v>67.77</v>
      </c>
    </row>
    <row r="4685" spans="1:9" s="2" customFormat="1" ht="21.75" customHeight="1">
      <c r="A4685" s="8" t="s">
        <v>28</v>
      </c>
      <c r="B4685" s="8" t="s">
        <v>17</v>
      </c>
      <c r="C4685" s="9" t="str">
        <f t="shared" si="114"/>
        <v>230134</v>
      </c>
      <c r="D4685" s="9" t="str">
        <f>"230910230"</f>
        <v>230910230</v>
      </c>
      <c r="E4685" s="10">
        <v>66.63</v>
      </c>
      <c r="F4685" s="10"/>
      <c r="G4685" s="10">
        <v>68.5</v>
      </c>
      <c r="H4685" s="10"/>
      <c r="I4685" s="10">
        <v>67.75</v>
      </c>
    </row>
    <row r="4686" spans="1:9" s="2" customFormat="1" ht="21.75" customHeight="1">
      <c r="A4686" s="8" t="s">
        <v>28</v>
      </c>
      <c r="B4686" s="8" t="s">
        <v>17</v>
      </c>
      <c r="C4686" s="9" t="str">
        <f t="shared" si="114"/>
        <v>230134</v>
      </c>
      <c r="D4686" s="9" t="str">
        <f>"230909919"</f>
        <v>230909919</v>
      </c>
      <c r="E4686" s="10">
        <v>62.74</v>
      </c>
      <c r="F4686" s="10"/>
      <c r="G4686" s="10">
        <v>71</v>
      </c>
      <c r="H4686" s="10"/>
      <c r="I4686" s="10">
        <v>67.7</v>
      </c>
    </row>
    <row r="4687" spans="1:9" s="2" customFormat="1" ht="21.75" customHeight="1">
      <c r="A4687" s="8" t="s">
        <v>28</v>
      </c>
      <c r="B4687" s="8" t="s">
        <v>17</v>
      </c>
      <c r="C4687" s="9" t="str">
        <f t="shared" si="114"/>
        <v>230134</v>
      </c>
      <c r="D4687" s="9" t="str">
        <f>"230910105"</f>
        <v>230910105</v>
      </c>
      <c r="E4687" s="10">
        <v>70.78</v>
      </c>
      <c r="F4687" s="10"/>
      <c r="G4687" s="10">
        <v>65.5</v>
      </c>
      <c r="H4687" s="10"/>
      <c r="I4687" s="10">
        <v>67.61</v>
      </c>
    </row>
    <row r="4688" spans="1:9" s="2" customFormat="1" ht="21.75" customHeight="1">
      <c r="A4688" s="8" t="s">
        <v>28</v>
      </c>
      <c r="B4688" s="8" t="s">
        <v>17</v>
      </c>
      <c r="C4688" s="9" t="str">
        <f t="shared" si="114"/>
        <v>230134</v>
      </c>
      <c r="D4688" s="9" t="str">
        <f>"230910014"</f>
        <v>230910014</v>
      </c>
      <c r="E4688" s="10">
        <v>64.569999999999993</v>
      </c>
      <c r="F4688" s="10"/>
      <c r="G4688" s="10">
        <v>69</v>
      </c>
      <c r="H4688" s="10"/>
      <c r="I4688" s="10">
        <v>67.23</v>
      </c>
    </row>
    <row r="4689" spans="1:9" s="2" customFormat="1" ht="21.75" customHeight="1">
      <c r="A4689" s="8" t="s">
        <v>28</v>
      </c>
      <c r="B4689" s="8" t="s">
        <v>17</v>
      </c>
      <c r="C4689" s="9" t="str">
        <f t="shared" si="114"/>
        <v>230134</v>
      </c>
      <c r="D4689" s="9" t="str">
        <f>"230909916"</f>
        <v>230909916</v>
      </c>
      <c r="E4689" s="10">
        <v>65.28</v>
      </c>
      <c r="F4689" s="10"/>
      <c r="G4689" s="10">
        <v>68.5</v>
      </c>
      <c r="H4689" s="10"/>
      <c r="I4689" s="10">
        <v>67.209999999999994</v>
      </c>
    </row>
    <row r="4690" spans="1:9" s="3" customFormat="1" ht="21.75" customHeight="1">
      <c r="A4690" s="8" t="s">
        <v>28</v>
      </c>
      <c r="B4690" s="8" t="s">
        <v>17</v>
      </c>
      <c r="C4690" s="9" t="str">
        <f t="shared" si="114"/>
        <v>230134</v>
      </c>
      <c r="D4690" s="9" t="str">
        <f>"230909914"</f>
        <v>230909914</v>
      </c>
      <c r="E4690" s="10">
        <v>68.81</v>
      </c>
      <c r="F4690" s="10"/>
      <c r="G4690" s="10">
        <v>66</v>
      </c>
      <c r="H4690" s="10"/>
      <c r="I4690" s="10">
        <v>67.12</v>
      </c>
    </row>
    <row r="4691" spans="1:9" s="3" customFormat="1" ht="21.75" customHeight="1">
      <c r="A4691" s="8" t="s">
        <v>28</v>
      </c>
      <c r="B4691" s="8" t="s">
        <v>17</v>
      </c>
      <c r="C4691" s="9" t="str">
        <f t="shared" si="114"/>
        <v>230134</v>
      </c>
      <c r="D4691" s="9" t="str">
        <f>"230909907"</f>
        <v>230909907</v>
      </c>
      <c r="E4691" s="10">
        <v>63.65</v>
      </c>
      <c r="F4691" s="10"/>
      <c r="G4691" s="10">
        <v>69</v>
      </c>
      <c r="H4691" s="10"/>
      <c r="I4691" s="10">
        <v>66.86</v>
      </c>
    </row>
    <row r="4692" spans="1:9" s="2" customFormat="1" ht="21.75" customHeight="1">
      <c r="A4692" s="8" t="s">
        <v>28</v>
      </c>
      <c r="B4692" s="8" t="s">
        <v>17</v>
      </c>
      <c r="C4692" s="9" t="str">
        <f t="shared" si="114"/>
        <v>230134</v>
      </c>
      <c r="D4692" s="9" t="str">
        <f>"230910107"</f>
        <v>230910107</v>
      </c>
      <c r="E4692" s="10">
        <v>62.14</v>
      </c>
      <c r="F4692" s="10"/>
      <c r="G4692" s="10">
        <v>70</v>
      </c>
      <c r="H4692" s="10"/>
      <c r="I4692" s="10">
        <v>66.86</v>
      </c>
    </row>
    <row r="4693" spans="1:9" s="2" customFormat="1" ht="21.75" customHeight="1">
      <c r="A4693" s="8" t="s">
        <v>28</v>
      </c>
      <c r="B4693" s="8" t="s">
        <v>17</v>
      </c>
      <c r="C4693" s="9" t="str">
        <f t="shared" si="114"/>
        <v>230134</v>
      </c>
      <c r="D4693" s="9" t="str">
        <f>"230910213"</f>
        <v>230910213</v>
      </c>
      <c r="E4693" s="10">
        <v>69.400000000000006</v>
      </c>
      <c r="F4693" s="10"/>
      <c r="G4693" s="10">
        <v>65</v>
      </c>
      <c r="H4693" s="10"/>
      <c r="I4693" s="10">
        <v>66.760000000000005</v>
      </c>
    </row>
    <row r="4694" spans="1:9" s="3" customFormat="1" ht="21.75" customHeight="1">
      <c r="A4694" s="8" t="s">
        <v>28</v>
      </c>
      <c r="B4694" s="8" t="s">
        <v>17</v>
      </c>
      <c r="C4694" s="9" t="str">
        <f t="shared" si="114"/>
        <v>230134</v>
      </c>
      <c r="D4694" s="9" t="str">
        <f>"230909922"</f>
        <v>230909922</v>
      </c>
      <c r="E4694" s="10">
        <v>57.78</v>
      </c>
      <c r="F4694" s="10"/>
      <c r="G4694" s="10">
        <v>72.5</v>
      </c>
      <c r="H4694" s="10"/>
      <c r="I4694" s="10">
        <v>66.61</v>
      </c>
    </row>
    <row r="4695" spans="1:9" s="2" customFormat="1" ht="21.75" customHeight="1">
      <c r="A4695" s="8" t="s">
        <v>28</v>
      </c>
      <c r="B4695" s="8" t="s">
        <v>17</v>
      </c>
      <c r="C4695" s="9" t="str">
        <f t="shared" si="114"/>
        <v>230134</v>
      </c>
      <c r="D4695" s="9" t="str">
        <f>"230910216"</f>
        <v>230910216</v>
      </c>
      <c r="E4695" s="10">
        <v>69.400000000000006</v>
      </c>
      <c r="F4695" s="10"/>
      <c r="G4695" s="10">
        <v>64.5</v>
      </c>
      <c r="H4695" s="10"/>
      <c r="I4695" s="10">
        <v>66.459999999999994</v>
      </c>
    </row>
    <row r="4696" spans="1:9" s="2" customFormat="1" ht="21.75" customHeight="1">
      <c r="A4696" s="8" t="s">
        <v>28</v>
      </c>
      <c r="B4696" s="8" t="s">
        <v>17</v>
      </c>
      <c r="C4696" s="9" t="str">
        <f t="shared" si="114"/>
        <v>230134</v>
      </c>
      <c r="D4696" s="9" t="str">
        <f>"230910224"</f>
        <v>230910224</v>
      </c>
      <c r="E4696" s="10">
        <v>67.790000000000006</v>
      </c>
      <c r="F4696" s="10"/>
      <c r="G4696" s="10">
        <v>65.5</v>
      </c>
      <c r="H4696" s="10"/>
      <c r="I4696" s="10">
        <v>66.42</v>
      </c>
    </row>
    <row r="4697" spans="1:9" s="2" customFormat="1" ht="21.75" customHeight="1">
      <c r="A4697" s="8" t="s">
        <v>28</v>
      </c>
      <c r="B4697" s="8" t="s">
        <v>17</v>
      </c>
      <c r="C4697" s="9" t="str">
        <f t="shared" si="114"/>
        <v>230134</v>
      </c>
      <c r="D4697" s="9" t="str">
        <f>"230910308"</f>
        <v>230910308</v>
      </c>
      <c r="E4697" s="10">
        <v>65.150000000000006</v>
      </c>
      <c r="F4697" s="10"/>
      <c r="G4697" s="10">
        <v>67</v>
      </c>
      <c r="H4697" s="10"/>
      <c r="I4697" s="10">
        <v>66.260000000000005</v>
      </c>
    </row>
    <row r="4698" spans="1:9" s="3" customFormat="1" ht="21.75" customHeight="1">
      <c r="A4698" s="8" t="s">
        <v>28</v>
      </c>
      <c r="B4698" s="8" t="s">
        <v>17</v>
      </c>
      <c r="C4698" s="9" t="str">
        <f t="shared" si="114"/>
        <v>230134</v>
      </c>
      <c r="D4698" s="9" t="str">
        <f>"230909918"</f>
        <v>230909918</v>
      </c>
      <c r="E4698" s="10">
        <v>55.49</v>
      </c>
      <c r="F4698" s="10"/>
      <c r="G4698" s="10">
        <v>73</v>
      </c>
      <c r="H4698" s="10"/>
      <c r="I4698" s="10">
        <v>66</v>
      </c>
    </row>
    <row r="4699" spans="1:9" s="3" customFormat="1" ht="21.75" customHeight="1">
      <c r="A4699" s="8" t="s">
        <v>28</v>
      </c>
      <c r="B4699" s="8" t="s">
        <v>17</v>
      </c>
      <c r="C4699" s="9" t="str">
        <f t="shared" si="114"/>
        <v>230134</v>
      </c>
      <c r="D4699" s="9" t="str">
        <f>"230909917"</f>
        <v>230909917</v>
      </c>
      <c r="E4699" s="10">
        <v>62.14</v>
      </c>
      <c r="F4699" s="10"/>
      <c r="G4699" s="10">
        <v>68.5</v>
      </c>
      <c r="H4699" s="10"/>
      <c r="I4699" s="10">
        <v>65.959999999999994</v>
      </c>
    </row>
    <row r="4700" spans="1:9" s="2" customFormat="1" ht="21.75" customHeight="1">
      <c r="A4700" s="8" t="s">
        <v>28</v>
      </c>
      <c r="B4700" s="8" t="s">
        <v>17</v>
      </c>
      <c r="C4700" s="9" t="str">
        <f t="shared" si="114"/>
        <v>230134</v>
      </c>
      <c r="D4700" s="9" t="str">
        <f>"230910021"</f>
        <v>230910021</v>
      </c>
      <c r="E4700" s="10">
        <v>64.56</v>
      </c>
      <c r="F4700" s="10"/>
      <c r="G4700" s="10">
        <v>66</v>
      </c>
      <c r="H4700" s="10"/>
      <c r="I4700" s="10">
        <v>65.42</v>
      </c>
    </row>
    <row r="4701" spans="1:9" s="3" customFormat="1" ht="21.75" customHeight="1">
      <c r="A4701" s="8" t="s">
        <v>28</v>
      </c>
      <c r="B4701" s="8" t="s">
        <v>17</v>
      </c>
      <c r="C4701" s="9" t="str">
        <f t="shared" si="114"/>
        <v>230134</v>
      </c>
      <c r="D4701" s="9" t="str">
        <f>"230910023"</f>
        <v>230910023</v>
      </c>
      <c r="E4701" s="10">
        <v>62.83</v>
      </c>
      <c r="F4701" s="10"/>
      <c r="G4701" s="10">
        <v>67</v>
      </c>
      <c r="H4701" s="10"/>
      <c r="I4701" s="10">
        <v>65.33</v>
      </c>
    </row>
    <row r="4702" spans="1:9" s="2" customFormat="1" ht="21.75" customHeight="1">
      <c r="A4702" s="8" t="s">
        <v>28</v>
      </c>
      <c r="B4702" s="8" t="s">
        <v>17</v>
      </c>
      <c r="C4702" s="9" t="str">
        <f t="shared" si="114"/>
        <v>230134</v>
      </c>
      <c r="D4702" s="9" t="str">
        <f>"230910222"</f>
        <v>230910222</v>
      </c>
      <c r="E4702" s="10">
        <v>59.05</v>
      </c>
      <c r="F4702" s="10"/>
      <c r="G4702" s="10">
        <v>69.5</v>
      </c>
      <c r="H4702" s="10"/>
      <c r="I4702" s="10">
        <v>65.319999999999993</v>
      </c>
    </row>
    <row r="4703" spans="1:9" s="2" customFormat="1" ht="21.75" customHeight="1">
      <c r="A4703" s="8" t="s">
        <v>28</v>
      </c>
      <c r="B4703" s="8" t="s">
        <v>17</v>
      </c>
      <c r="C4703" s="9" t="str">
        <f t="shared" si="114"/>
        <v>230134</v>
      </c>
      <c r="D4703" s="9" t="str">
        <f>"230909925"</f>
        <v>230909925</v>
      </c>
      <c r="E4703" s="10">
        <v>66.97</v>
      </c>
      <c r="F4703" s="10"/>
      <c r="G4703" s="10">
        <v>64</v>
      </c>
      <c r="H4703" s="10"/>
      <c r="I4703" s="10">
        <v>65.19</v>
      </c>
    </row>
    <row r="4704" spans="1:9" s="3" customFormat="1" ht="21.75" customHeight="1">
      <c r="A4704" s="8" t="s">
        <v>28</v>
      </c>
      <c r="B4704" s="8" t="s">
        <v>17</v>
      </c>
      <c r="C4704" s="9" t="str">
        <f t="shared" si="114"/>
        <v>230134</v>
      </c>
      <c r="D4704" s="9" t="str">
        <f>"230910008"</f>
        <v>230910008</v>
      </c>
      <c r="E4704" s="10">
        <v>60.67</v>
      </c>
      <c r="F4704" s="10"/>
      <c r="G4704" s="10">
        <v>67.5</v>
      </c>
      <c r="H4704" s="10"/>
      <c r="I4704" s="10">
        <v>64.77</v>
      </c>
    </row>
    <row r="4705" spans="1:9" s="2" customFormat="1" ht="21.75" customHeight="1">
      <c r="A4705" s="8" t="s">
        <v>28</v>
      </c>
      <c r="B4705" s="8" t="s">
        <v>17</v>
      </c>
      <c r="C4705" s="9" t="str">
        <f t="shared" si="114"/>
        <v>230134</v>
      </c>
      <c r="D4705" s="9" t="str">
        <f>"230909901"</f>
        <v>230909901</v>
      </c>
      <c r="E4705" s="10">
        <v>60.31</v>
      </c>
      <c r="F4705" s="10"/>
      <c r="G4705" s="10">
        <v>67</v>
      </c>
      <c r="H4705" s="10"/>
      <c r="I4705" s="10">
        <v>64.319999999999993</v>
      </c>
    </row>
    <row r="4706" spans="1:9" s="2" customFormat="1" ht="21.75" customHeight="1">
      <c r="A4706" s="8" t="s">
        <v>28</v>
      </c>
      <c r="B4706" s="8" t="s">
        <v>17</v>
      </c>
      <c r="C4706" s="9" t="str">
        <f t="shared" si="114"/>
        <v>230134</v>
      </c>
      <c r="D4706" s="9" t="str">
        <f>"230910025"</f>
        <v>230910025</v>
      </c>
      <c r="E4706" s="10">
        <v>57.68</v>
      </c>
      <c r="F4706" s="10"/>
      <c r="G4706" s="10">
        <v>68.5</v>
      </c>
      <c r="H4706" s="10"/>
      <c r="I4706" s="10">
        <v>64.17</v>
      </c>
    </row>
    <row r="4707" spans="1:9" s="3" customFormat="1" ht="21.75" customHeight="1">
      <c r="A4707" s="8" t="s">
        <v>28</v>
      </c>
      <c r="B4707" s="8" t="s">
        <v>17</v>
      </c>
      <c r="C4707" s="9" t="str">
        <f t="shared" si="114"/>
        <v>230134</v>
      </c>
      <c r="D4707" s="9" t="str">
        <f>"230910016"</f>
        <v>230910016</v>
      </c>
      <c r="E4707" s="10">
        <v>68.260000000000005</v>
      </c>
      <c r="F4707" s="10"/>
      <c r="G4707" s="10">
        <v>61</v>
      </c>
      <c r="H4707" s="10"/>
      <c r="I4707" s="10">
        <v>63.9</v>
      </c>
    </row>
    <row r="4708" spans="1:9" s="2" customFormat="1" ht="21.75" customHeight="1">
      <c r="A4708" s="8" t="s">
        <v>28</v>
      </c>
      <c r="B4708" s="8" t="s">
        <v>17</v>
      </c>
      <c r="C4708" s="9" t="str">
        <f t="shared" si="114"/>
        <v>230134</v>
      </c>
      <c r="D4708" s="9" t="str">
        <f>"230910119"</f>
        <v>230910119</v>
      </c>
      <c r="E4708" s="10">
        <v>59.18</v>
      </c>
      <c r="F4708" s="10"/>
      <c r="G4708" s="10">
        <v>66.5</v>
      </c>
      <c r="H4708" s="10"/>
      <c r="I4708" s="10">
        <v>63.57</v>
      </c>
    </row>
    <row r="4709" spans="1:9" s="3" customFormat="1" ht="21.75" customHeight="1">
      <c r="A4709" s="8" t="s">
        <v>28</v>
      </c>
      <c r="B4709" s="8" t="s">
        <v>17</v>
      </c>
      <c r="C4709" s="9" t="str">
        <f t="shared" si="114"/>
        <v>230134</v>
      </c>
      <c r="D4709" s="9" t="str">
        <f>"230910110"</f>
        <v>230910110</v>
      </c>
      <c r="E4709" s="10">
        <v>53.08</v>
      </c>
      <c r="F4709" s="10"/>
      <c r="G4709" s="10">
        <v>70</v>
      </c>
      <c r="H4709" s="10"/>
      <c r="I4709" s="10">
        <v>63.23</v>
      </c>
    </row>
    <row r="4710" spans="1:9" s="2" customFormat="1" ht="21.75" customHeight="1">
      <c r="A4710" s="8" t="s">
        <v>28</v>
      </c>
      <c r="B4710" s="8" t="s">
        <v>17</v>
      </c>
      <c r="C4710" s="9" t="str">
        <f t="shared" si="114"/>
        <v>230134</v>
      </c>
      <c r="D4710" s="9" t="str">
        <f>"230910026"</f>
        <v>230910026</v>
      </c>
      <c r="E4710" s="10">
        <v>56.17</v>
      </c>
      <c r="F4710" s="10"/>
      <c r="G4710" s="10">
        <v>67.5</v>
      </c>
      <c r="H4710" s="10"/>
      <c r="I4710" s="10">
        <v>62.97</v>
      </c>
    </row>
    <row r="4711" spans="1:9" s="2" customFormat="1" ht="21.75" customHeight="1">
      <c r="A4711" s="8" t="s">
        <v>28</v>
      </c>
      <c r="B4711" s="8" t="s">
        <v>17</v>
      </c>
      <c r="C4711" s="9" t="str">
        <f t="shared" ref="C4711:C4742" si="115">"230134"</f>
        <v>230134</v>
      </c>
      <c r="D4711" s="9" t="str">
        <f>"230909903"</f>
        <v>230909903</v>
      </c>
      <c r="E4711" s="10">
        <v>62.27</v>
      </c>
      <c r="F4711" s="10"/>
      <c r="G4711" s="10">
        <v>63</v>
      </c>
      <c r="H4711" s="10"/>
      <c r="I4711" s="10">
        <v>62.71</v>
      </c>
    </row>
    <row r="4712" spans="1:9" s="2" customFormat="1" ht="21.75" customHeight="1">
      <c r="A4712" s="8" t="s">
        <v>28</v>
      </c>
      <c r="B4712" s="8" t="s">
        <v>17</v>
      </c>
      <c r="C4712" s="9" t="str">
        <f t="shared" si="115"/>
        <v>230134</v>
      </c>
      <c r="D4712" s="9" t="str">
        <f>"230909926"</f>
        <v>230909926</v>
      </c>
      <c r="E4712" s="10">
        <v>61.47</v>
      </c>
      <c r="F4712" s="10"/>
      <c r="G4712" s="10">
        <v>62</v>
      </c>
      <c r="H4712" s="10"/>
      <c r="I4712" s="10">
        <v>61.79</v>
      </c>
    </row>
    <row r="4713" spans="1:9" s="2" customFormat="1" ht="21.75" customHeight="1">
      <c r="A4713" s="8" t="s">
        <v>28</v>
      </c>
      <c r="B4713" s="8" t="s">
        <v>17</v>
      </c>
      <c r="C4713" s="9" t="str">
        <f t="shared" si="115"/>
        <v>230134</v>
      </c>
      <c r="D4713" s="9" t="str">
        <f>"230910225"</f>
        <v>230910225</v>
      </c>
      <c r="E4713" s="10">
        <v>60.77</v>
      </c>
      <c r="F4713" s="10"/>
      <c r="G4713" s="10">
        <v>61.5</v>
      </c>
      <c r="H4713" s="10"/>
      <c r="I4713" s="10">
        <v>61.21</v>
      </c>
    </row>
    <row r="4714" spans="1:9" s="3" customFormat="1" ht="21.75" customHeight="1">
      <c r="A4714" s="8" t="s">
        <v>28</v>
      </c>
      <c r="B4714" s="8" t="s">
        <v>17</v>
      </c>
      <c r="C4714" s="9" t="str">
        <f t="shared" si="115"/>
        <v>230134</v>
      </c>
      <c r="D4714" s="9" t="str">
        <f>"230910125"</f>
        <v>230910125</v>
      </c>
      <c r="E4714" s="10">
        <v>65.13</v>
      </c>
      <c r="F4714" s="10"/>
      <c r="G4714" s="10">
        <v>58.5</v>
      </c>
      <c r="H4714" s="10"/>
      <c r="I4714" s="10">
        <v>61.15</v>
      </c>
    </row>
    <row r="4715" spans="1:9" s="2" customFormat="1" ht="21.75" customHeight="1">
      <c r="A4715" s="8" t="s">
        <v>28</v>
      </c>
      <c r="B4715" s="8" t="s">
        <v>17</v>
      </c>
      <c r="C4715" s="9" t="str">
        <f t="shared" si="115"/>
        <v>230134</v>
      </c>
      <c r="D4715" s="9" t="str">
        <f>"230909927"</f>
        <v>230909927</v>
      </c>
      <c r="E4715" s="10">
        <v>61.12</v>
      </c>
      <c r="F4715" s="10"/>
      <c r="G4715" s="10">
        <v>34</v>
      </c>
      <c r="H4715" s="10"/>
      <c r="I4715" s="10">
        <v>44.85</v>
      </c>
    </row>
    <row r="4716" spans="1:9" s="2" customFormat="1" ht="21.75" customHeight="1">
      <c r="A4716" s="8" t="s">
        <v>28</v>
      </c>
      <c r="B4716" s="8" t="s">
        <v>17</v>
      </c>
      <c r="C4716" s="9" t="str">
        <f t="shared" si="115"/>
        <v>230134</v>
      </c>
      <c r="D4716" s="9" t="str">
        <f>"230909904"</f>
        <v>230909904</v>
      </c>
      <c r="E4716" s="10">
        <v>0</v>
      </c>
      <c r="F4716" s="10"/>
      <c r="G4716" s="10">
        <v>0</v>
      </c>
      <c r="H4716" s="10"/>
      <c r="I4716" s="10">
        <v>0</v>
      </c>
    </row>
    <row r="4717" spans="1:9" s="2" customFormat="1" ht="21.75" customHeight="1">
      <c r="A4717" s="8" t="s">
        <v>28</v>
      </c>
      <c r="B4717" s="8" t="s">
        <v>17</v>
      </c>
      <c r="C4717" s="9" t="str">
        <f t="shared" si="115"/>
        <v>230134</v>
      </c>
      <c r="D4717" s="9" t="str">
        <f>"230909906"</f>
        <v>230909906</v>
      </c>
      <c r="E4717" s="10">
        <v>0</v>
      </c>
      <c r="F4717" s="10"/>
      <c r="G4717" s="10">
        <v>0</v>
      </c>
      <c r="H4717" s="10"/>
      <c r="I4717" s="10">
        <v>0</v>
      </c>
    </row>
    <row r="4718" spans="1:9" s="2" customFormat="1" ht="21.75" customHeight="1">
      <c r="A4718" s="8" t="s">
        <v>28</v>
      </c>
      <c r="B4718" s="8" t="s">
        <v>17</v>
      </c>
      <c r="C4718" s="9" t="str">
        <f t="shared" si="115"/>
        <v>230134</v>
      </c>
      <c r="D4718" s="9" t="str">
        <f>"230909908"</f>
        <v>230909908</v>
      </c>
      <c r="E4718" s="10">
        <v>0</v>
      </c>
      <c r="F4718" s="10"/>
      <c r="G4718" s="10">
        <v>0</v>
      </c>
      <c r="H4718" s="10"/>
      <c r="I4718" s="10">
        <v>0</v>
      </c>
    </row>
    <row r="4719" spans="1:9" s="2" customFormat="1" ht="21.75" customHeight="1">
      <c r="A4719" s="8" t="s">
        <v>28</v>
      </c>
      <c r="B4719" s="8" t="s">
        <v>17</v>
      </c>
      <c r="C4719" s="9" t="str">
        <f t="shared" si="115"/>
        <v>230134</v>
      </c>
      <c r="D4719" s="9" t="str">
        <f>"230909909"</f>
        <v>230909909</v>
      </c>
      <c r="E4719" s="10">
        <v>0</v>
      </c>
      <c r="F4719" s="10"/>
      <c r="G4719" s="10">
        <v>0</v>
      </c>
      <c r="H4719" s="10"/>
      <c r="I4719" s="10">
        <v>0</v>
      </c>
    </row>
    <row r="4720" spans="1:9" s="3" customFormat="1" ht="21.75" customHeight="1">
      <c r="A4720" s="8" t="s">
        <v>28</v>
      </c>
      <c r="B4720" s="8" t="s">
        <v>17</v>
      </c>
      <c r="C4720" s="9" t="str">
        <f t="shared" si="115"/>
        <v>230134</v>
      </c>
      <c r="D4720" s="9" t="str">
        <f>"230909913"</f>
        <v>230909913</v>
      </c>
      <c r="E4720" s="10">
        <v>0</v>
      </c>
      <c r="F4720" s="10"/>
      <c r="G4720" s="10">
        <v>0</v>
      </c>
      <c r="H4720" s="10"/>
      <c r="I4720" s="10">
        <v>0</v>
      </c>
    </row>
    <row r="4721" spans="1:9" s="2" customFormat="1" ht="21.75" customHeight="1">
      <c r="A4721" s="8" t="s">
        <v>28</v>
      </c>
      <c r="B4721" s="8" t="s">
        <v>17</v>
      </c>
      <c r="C4721" s="9" t="str">
        <f t="shared" si="115"/>
        <v>230134</v>
      </c>
      <c r="D4721" s="9" t="str">
        <f>"230909920"</f>
        <v>230909920</v>
      </c>
      <c r="E4721" s="10">
        <v>0</v>
      </c>
      <c r="F4721" s="10"/>
      <c r="G4721" s="10">
        <v>0</v>
      </c>
      <c r="H4721" s="10"/>
      <c r="I4721" s="10">
        <v>0</v>
      </c>
    </row>
    <row r="4722" spans="1:9" s="2" customFormat="1" ht="21.75" customHeight="1">
      <c r="A4722" s="8" t="s">
        <v>28</v>
      </c>
      <c r="B4722" s="8" t="s">
        <v>17</v>
      </c>
      <c r="C4722" s="9" t="str">
        <f t="shared" si="115"/>
        <v>230134</v>
      </c>
      <c r="D4722" s="9" t="str">
        <f>"230909921"</f>
        <v>230909921</v>
      </c>
      <c r="E4722" s="10">
        <v>0</v>
      </c>
      <c r="F4722" s="10"/>
      <c r="G4722" s="10">
        <v>0</v>
      </c>
      <c r="H4722" s="10"/>
      <c r="I4722" s="10">
        <v>0</v>
      </c>
    </row>
    <row r="4723" spans="1:9" s="3" customFormat="1" ht="21.75" customHeight="1">
      <c r="A4723" s="8" t="s">
        <v>28</v>
      </c>
      <c r="B4723" s="8" t="s">
        <v>17</v>
      </c>
      <c r="C4723" s="9" t="str">
        <f t="shared" si="115"/>
        <v>230134</v>
      </c>
      <c r="D4723" s="9" t="str">
        <f>"230909923"</f>
        <v>230909923</v>
      </c>
      <c r="E4723" s="10">
        <v>0</v>
      </c>
      <c r="F4723" s="10"/>
      <c r="G4723" s="10">
        <v>0</v>
      </c>
      <c r="H4723" s="10"/>
      <c r="I4723" s="10">
        <v>0</v>
      </c>
    </row>
    <row r="4724" spans="1:9" s="2" customFormat="1" ht="21.75" customHeight="1">
      <c r="A4724" s="8" t="s">
        <v>28</v>
      </c>
      <c r="B4724" s="8" t="s">
        <v>17</v>
      </c>
      <c r="C4724" s="9" t="str">
        <f t="shared" si="115"/>
        <v>230134</v>
      </c>
      <c r="D4724" s="9" t="str">
        <f>"230909924"</f>
        <v>230909924</v>
      </c>
      <c r="E4724" s="10">
        <v>0</v>
      </c>
      <c r="F4724" s="10"/>
      <c r="G4724" s="10">
        <v>0</v>
      </c>
      <c r="H4724" s="10"/>
      <c r="I4724" s="10">
        <v>0</v>
      </c>
    </row>
    <row r="4725" spans="1:9" s="2" customFormat="1" ht="21.75" customHeight="1">
      <c r="A4725" s="8" t="s">
        <v>28</v>
      </c>
      <c r="B4725" s="8" t="s">
        <v>17</v>
      </c>
      <c r="C4725" s="9" t="str">
        <f t="shared" si="115"/>
        <v>230134</v>
      </c>
      <c r="D4725" s="9" t="str">
        <f>"230909929"</f>
        <v>230909929</v>
      </c>
      <c r="E4725" s="10">
        <v>0</v>
      </c>
      <c r="F4725" s="10"/>
      <c r="G4725" s="10">
        <v>0</v>
      </c>
      <c r="H4725" s="10"/>
      <c r="I4725" s="10">
        <v>0</v>
      </c>
    </row>
    <row r="4726" spans="1:9" s="2" customFormat="1" ht="21.75" customHeight="1">
      <c r="A4726" s="8" t="s">
        <v>28</v>
      </c>
      <c r="B4726" s="8" t="s">
        <v>17</v>
      </c>
      <c r="C4726" s="9" t="str">
        <f t="shared" si="115"/>
        <v>230134</v>
      </c>
      <c r="D4726" s="9" t="str">
        <f>"230909930"</f>
        <v>230909930</v>
      </c>
      <c r="E4726" s="10">
        <v>0</v>
      </c>
      <c r="F4726" s="10"/>
      <c r="G4726" s="10">
        <v>0</v>
      </c>
      <c r="H4726" s="10"/>
      <c r="I4726" s="10">
        <v>0</v>
      </c>
    </row>
    <row r="4727" spans="1:9" s="3" customFormat="1" ht="21.75" customHeight="1">
      <c r="A4727" s="8" t="s">
        <v>28</v>
      </c>
      <c r="B4727" s="8" t="s">
        <v>17</v>
      </c>
      <c r="C4727" s="9" t="str">
        <f t="shared" si="115"/>
        <v>230134</v>
      </c>
      <c r="D4727" s="9" t="str">
        <f>"230910002"</f>
        <v>230910002</v>
      </c>
      <c r="E4727" s="10">
        <v>0</v>
      </c>
      <c r="F4727" s="10"/>
      <c r="G4727" s="10">
        <v>0</v>
      </c>
      <c r="H4727" s="10"/>
      <c r="I4727" s="10">
        <v>0</v>
      </c>
    </row>
    <row r="4728" spans="1:9" s="3" customFormat="1" ht="21.75" customHeight="1">
      <c r="A4728" s="8" t="s">
        <v>28</v>
      </c>
      <c r="B4728" s="8" t="s">
        <v>17</v>
      </c>
      <c r="C4728" s="9" t="str">
        <f t="shared" si="115"/>
        <v>230134</v>
      </c>
      <c r="D4728" s="9" t="str">
        <f>"230910004"</f>
        <v>230910004</v>
      </c>
      <c r="E4728" s="10">
        <v>0</v>
      </c>
      <c r="F4728" s="10"/>
      <c r="G4728" s="10">
        <v>0</v>
      </c>
      <c r="H4728" s="10"/>
      <c r="I4728" s="10">
        <v>0</v>
      </c>
    </row>
    <row r="4729" spans="1:9" s="2" customFormat="1" ht="21.75" customHeight="1">
      <c r="A4729" s="8" t="s">
        <v>28</v>
      </c>
      <c r="B4729" s="8" t="s">
        <v>17</v>
      </c>
      <c r="C4729" s="9" t="str">
        <f t="shared" si="115"/>
        <v>230134</v>
      </c>
      <c r="D4729" s="9" t="str">
        <f>"230910005"</f>
        <v>230910005</v>
      </c>
      <c r="E4729" s="10">
        <v>0</v>
      </c>
      <c r="F4729" s="10"/>
      <c r="G4729" s="10">
        <v>0</v>
      </c>
      <c r="H4729" s="10"/>
      <c r="I4729" s="10">
        <v>0</v>
      </c>
    </row>
    <row r="4730" spans="1:9" s="2" customFormat="1" ht="21.75" customHeight="1">
      <c r="A4730" s="8" t="s">
        <v>28</v>
      </c>
      <c r="B4730" s="8" t="s">
        <v>17</v>
      </c>
      <c r="C4730" s="9" t="str">
        <f t="shared" si="115"/>
        <v>230134</v>
      </c>
      <c r="D4730" s="9" t="str">
        <f>"230910007"</f>
        <v>230910007</v>
      </c>
      <c r="E4730" s="10">
        <v>0</v>
      </c>
      <c r="F4730" s="10"/>
      <c r="G4730" s="10">
        <v>0</v>
      </c>
      <c r="H4730" s="10"/>
      <c r="I4730" s="10">
        <v>0</v>
      </c>
    </row>
    <row r="4731" spans="1:9" s="2" customFormat="1" ht="21.75" customHeight="1">
      <c r="A4731" s="8" t="s">
        <v>28</v>
      </c>
      <c r="B4731" s="8" t="s">
        <v>17</v>
      </c>
      <c r="C4731" s="9" t="str">
        <f t="shared" si="115"/>
        <v>230134</v>
      </c>
      <c r="D4731" s="9" t="str">
        <f>"230910011"</f>
        <v>230910011</v>
      </c>
      <c r="E4731" s="10">
        <v>0</v>
      </c>
      <c r="F4731" s="10"/>
      <c r="G4731" s="10">
        <v>0</v>
      </c>
      <c r="H4731" s="10"/>
      <c r="I4731" s="10">
        <v>0</v>
      </c>
    </row>
    <row r="4732" spans="1:9" s="2" customFormat="1" ht="21.75" customHeight="1">
      <c r="A4732" s="8" t="s">
        <v>28</v>
      </c>
      <c r="B4732" s="8" t="s">
        <v>17</v>
      </c>
      <c r="C4732" s="9" t="str">
        <f t="shared" si="115"/>
        <v>230134</v>
      </c>
      <c r="D4732" s="9" t="str">
        <f>"230910013"</f>
        <v>230910013</v>
      </c>
      <c r="E4732" s="10">
        <v>0</v>
      </c>
      <c r="F4732" s="10"/>
      <c r="G4732" s="10">
        <v>0</v>
      </c>
      <c r="H4732" s="10"/>
      <c r="I4732" s="10">
        <v>0</v>
      </c>
    </row>
    <row r="4733" spans="1:9" s="2" customFormat="1" ht="21.75" customHeight="1">
      <c r="A4733" s="8" t="s">
        <v>28</v>
      </c>
      <c r="B4733" s="8" t="s">
        <v>17</v>
      </c>
      <c r="C4733" s="9" t="str">
        <f t="shared" si="115"/>
        <v>230134</v>
      </c>
      <c r="D4733" s="9" t="str">
        <f>"230910017"</f>
        <v>230910017</v>
      </c>
      <c r="E4733" s="10">
        <v>0</v>
      </c>
      <c r="F4733" s="10"/>
      <c r="G4733" s="10">
        <v>0</v>
      </c>
      <c r="H4733" s="10"/>
      <c r="I4733" s="10">
        <v>0</v>
      </c>
    </row>
    <row r="4734" spans="1:9" s="2" customFormat="1" ht="21.75" customHeight="1">
      <c r="A4734" s="8" t="s">
        <v>28</v>
      </c>
      <c r="B4734" s="8" t="s">
        <v>17</v>
      </c>
      <c r="C4734" s="9" t="str">
        <f t="shared" si="115"/>
        <v>230134</v>
      </c>
      <c r="D4734" s="9" t="str">
        <f>"230910018"</f>
        <v>230910018</v>
      </c>
      <c r="E4734" s="10">
        <v>0</v>
      </c>
      <c r="F4734" s="10"/>
      <c r="G4734" s="10">
        <v>0</v>
      </c>
      <c r="H4734" s="10"/>
      <c r="I4734" s="10">
        <v>0</v>
      </c>
    </row>
    <row r="4735" spans="1:9" s="2" customFormat="1" ht="21.75" customHeight="1">
      <c r="A4735" s="8" t="s">
        <v>28</v>
      </c>
      <c r="B4735" s="8" t="s">
        <v>17</v>
      </c>
      <c r="C4735" s="9" t="str">
        <f t="shared" si="115"/>
        <v>230134</v>
      </c>
      <c r="D4735" s="9" t="str">
        <f>"230910022"</f>
        <v>230910022</v>
      </c>
      <c r="E4735" s="10">
        <v>0</v>
      </c>
      <c r="F4735" s="10"/>
      <c r="G4735" s="10">
        <v>0</v>
      </c>
      <c r="H4735" s="10"/>
      <c r="I4735" s="10">
        <v>0</v>
      </c>
    </row>
    <row r="4736" spans="1:9" s="2" customFormat="1" ht="21.75" customHeight="1">
      <c r="A4736" s="8" t="s">
        <v>28</v>
      </c>
      <c r="B4736" s="8" t="s">
        <v>17</v>
      </c>
      <c r="C4736" s="9" t="str">
        <f t="shared" si="115"/>
        <v>230134</v>
      </c>
      <c r="D4736" s="9" t="str">
        <f>"230910027"</f>
        <v>230910027</v>
      </c>
      <c r="E4736" s="10">
        <v>0</v>
      </c>
      <c r="F4736" s="10"/>
      <c r="G4736" s="10">
        <v>0</v>
      </c>
      <c r="H4736" s="10"/>
      <c r="I4736" s="10">
        <v>0</v>
      </c>
    </row>
    <row r="4737" spans="1:9" s="2" customFormat="1" ht="21.75" customHeight="1">
      <c r="A4737" s="8" t="s">
        <v>28</v>
      </c>
      <c r="B4737" s="8" t="s">
        <v>17</v>
      </c>
      <c r="C4737" s="9" t="str">
        <f t="shared" si="115"/>
        <v>230134</v>
      </c>
      <c r="D4737" s="9" t="str">
        <f>"230910028"</f>
        <v>230910028</v>
      </c>
      <c r="E4737" s="10">
        <v>0</v>
      </c>
      <c r="F4737" s="10"/>
      <c r="G4737" s="10">
        <v>0</v>
      </c>
      <c r="H4737" s="10"/>
      <c r="I4737" s="10">
        <v>0</v>
      </c>
    </row>
    <row r="4738" spans="1:9" s="2" customFormat="1" ht="21.75" customHeight="1">
      <c r="A4738" s="8" t="s">
        <v>28</v>
      </c>
      <c r="B4738" s="8" t="s">
        <v>17</v>
      </c>
      <c r="C4738" s="9" t="str">
        <f t="shared" si="115"/>
        <v>230134</v>
      </c>
      <c r="D4738" s="9" t="str">
        <f>"230910029"</f>
        <v>230910029</v>
      </c>
      <c r="E4738" s="10">
        <v>0</v>
      </c>
      <c r="F4738" s="10"/>
      <c r="G4738" s="10">
        <v>0</v>
      </c>
      <c r="H4738" s="10"/>
      <c r="I4738" s="10">
        <v>0</v>
      </c>
    </row>
    <row r="4739" spans="1:9" s="2" customFormat="1" ht="21.75" customHeight="1">
      <c r="A4739" s="8" t="s">
        <v>28</v>
      </c>
      <c r="B4739" s="8" t="s">
        <v>17</v>
      </c>
      <c r="C4739" s="9" t="str">
        <f t="shared" si="115"/>
        <v>230134</v>
      </c>
      <c r="D4739" s="9" t="str">
        <f>"230910030"</f>
        <v>230910030</v>
      </c>
      <c r="E4739" s="10">
        <v>0</v>
      </c>
      <c r="F4739" s="10"/>
      <c r="G4739" s="10">
        <v>0</v>
      </c>
      <c r="H4739" s="10"/>
      <c r="I4739" s="10">
        <v>0</v>
      </c>
    </row>
    <row r="4740" spans="1:9" s="2" customFormat="1" ht="21.75" customHeight="1">
      <c r="A4740" s="8" t="s">
        <v>28</v>
      </c>
      <c r="B4740" s="8" t="s">
        <v>17</v>
      </c>
      <c r="C4740" s="9" t="str">
        <f t="shared" si="115"/>
        <v>230134</v>
      </c>
      <c r="D4740" s="9" t="str">
        <f>"230910102"</f>
        <v>230910102</v>
      </c>
      <c r="E4740" s="10">
        <v>0</v>
      </c>
      <c r="F4740" s="10"/>
      <c r="G4740" s="10">
        <v>0</v>
      </c>
      <c r="H4740" s="10"/>
      <c r="I4740" s="10">
        <v>0</v>
      </c>
    </row>
    <row r="4741" spans="1:9" s="2" customFormat="1" ht="21.75" customHeight="1">
      <c r="A4741" s="8" t="s">
        <v>28</v>
      </c>
      <c r="B4741" s="8" t="s">
        <v>17</v>
      </c>
      <c r="C4741" s="9" t="str">
        <f t="shared" si="115"/>
        <v>230134</v>
      </c>
      <c r="D4741" s="9" t="str">
        <f>"230910106"</f>
        <v>230910106</v>
      </c>
      <c r="E4741" s="10">
        <v>0</v>
      </c>
      <c r="F4741" s="10"/>
      <c r="G4741" s="10">
        <v>0</v>
      </c>
      <c r="H4741" s="10"/>
      <c r="I4741" s="10">
        <v>0</v>
      </c>
    </row>
    <row r="4742" spans="1:9" s="3" customFormat="1" ht="21.75" customHeight="1">
      <c r="A4742" s="8" t="s">
        <v>28</v>
      </c>
      <c r="B4742" s="8" t="s">
        <v>17</v>
      </c>
      <c r="C4742" s="9" t="str">
        <f t="shared" si="115"/>
        <v>230134</v>
      </c>
      <c r="D4742" s="9" t="str">
        <f>"230910112"</f>
        <v>230910112</v>
      </c>
      <c r="E4742" s="10">
        <v>0</v>
      </c>
      <c r="F4742" s="10"/>
      <c r="G4742" s="10">
        <v>0</v>
      </c>
      <c r="H4742" s="10"/>
      <c r="I4742" s="10">
        <v>0</v>
      </c>
    </row>
    <row r="4743" spans="1:9" s="2" customFormat="1" ht="21.75" customHeight="1">
      <c r="A4743" s="8" t="s">
        <v>28</v>
      </c>
      <c r="B4743" s="8" t="s">
        <v>17</v>
      </c>
      <c r="C4743" s="9" t="str">
        <f t="shared" ref="C4743:C4765" si="116">"230134"</f>
        <v>230134</v>
      </c>
      <c r="D4743" s="9" t="str">
        <f>"230910113"</f>
        <v>230910113</v>
      </c>
      <c r="E4743" s="10">
        <v>0</v>
      </c>
      <c r="F4743" s="10"/>
      <c r="G4743" s="10">
        <v>0</v>
      </c>
      <c r="H4743" s="10"/>
      <c r="I4743" s="10">
        <v>0</v>
      </c>
    </row>
    <row r="4744" spans="1:9" s="2" customFormat="1" ht="21.75" customHeight="1">
      <c r="A4744" s="8" t="s">
        <v>28</v>
      </c>
      <c r="B4744" s="8" t="s">
        <v>17</v>
      </c>
      <c r="C4744" s="9" t="str">
        <f t="shared" si="116"/>
        <v>230134</v>
      </c>
      <c r="D4744" s="9" t="str">
        <f>"230910115"</f>
        <v>230910115</v>
      </c>
      <c r="E4744" s="10">
        <v>0</v>
      </c>
      <c r="F4744" s="10"/>
      <c r="G4744" s="10">
        <v>0</v>
      </c>
      <c r="H4744" s="10"/>
      <c r="I4744" s="10">
        <v>0</v>
      </c>
    </row>
    <row r="4745" spans="1:9" s="3" customFormat="1" ht="21.75" customHeight="1">
      <c r="A4745" s="8" t="s">
        <v>28</v>
      </c>
      <c r="B4745" s="8" t="s">
        <v>17</v>
      </c>
      <c r="C4745" s="9" t="str">
        <f t="shared" si="116"/>
        <v>230134</v>
      </c>
      <c r="D4745" s="9" t="str">
        <f>"230910129"</f>
        <v>230910129</v>
      </c>
      <c r="E4745" s="10">
        <v>0</v>
      </c>
      <c r="F4745" s="10"/>
      <c r="G4745" s="10">
        <v>0</v>
      </c>
      <c r="H4745" s="10"/>
      <c r="I4745" s="10">
        <v>0</v>
      </c>
    </row>
    <row r="4746" spans="1:9" s="2" customFormat="1" ht="21.75" customHeight="1">
      <c r="A4746" s="8" t="s">
        <v>28</v>
      </c>
      <c r="B4746" s="8" t="s">
        <v>17</v>
      </c>
      <c r="C4746" s="9" t="str">
        <f t="shared" si="116"/>
        <v>230134</v>
      </c>
      <c r="D4746" s="9" t="str">
        <f>"230910130"</f>
        <v>230910130</v>
      </c>
      <c r="E4746" s="10">
        <v>0</v>
      </c>
      <c r="F4746" s="10"/>
      <c r="G4746" s="10">
        <v>0</v>
      </c>
      <c r="H4746" s="10"/>
      <c r="I4746" s="10">
        <v>0</v>
      </c>
    </row>
    <row r="4747" spans="1:9" s="2" customFormat="1" ht="21.75" customHeight="1">
      <c r="A4747" s="8" t="s">
        <v>28</v>
      </c>
      <c r="B4747" s="8" t="s">
        <v>17</v>
      </c>
      <c r="C4747" s="9" t="str">
        <f t="shared" si="116"/>
        <v>230134</v>
      </c>
      <c r="D4747" s="9" t="str">
        <f>"230910201"</f>
        <v>230910201</v>
      </c>
      <c r="E4747" s="10">
        <v>0</v>
      </c>
      <c r="F4747" s="10"/>
      <c r="G4747" s="10">
        <v>0</v>
      </c>
      <c r="H4747" s="10"/>
      <c r="I4747" s="10">
        <v>0</v>
      </c>
    </row>
    <row r="4748" spans="1:9" s="2" customFormat="1" ht="21.75" customHeight="1">
      <c r="A4748" s="8" t="s">
        <v>28</v>
      </c>
      <c r="B4748" s="8" t="s">
        <v>17</v>
      </c>
      <c r="C4748" s="9" t="str">
        <f t="shared" si="116"/>
        <v>230134</v>
      </c>
      <c r="D4748" s="9" t="str">
        <f>"230910210"</f>
        <v>230910210</v>
      </c>
      <c r="E4748" s="10">
        <v>0</v>
      </c>
      <c r="F4748" s="10"/>
      <c r="G4748" s="10">
        <v>0</v>
      </c>
      <c r="H4748" s="10"/>
      <c r="I4748" s="10">
        <v>0</v>
      </c>
    </row>
    <row r="4749" spans="1:9" s="3" customFormat="1" ht="21.75" customHeight="1">
      <c r="A4749" s="8" t="s">
        <v>28</v>
      </c>
      <c r="B4749" s="8" t="s">
        <v>17</v>
      </c>
      <c r="C4749" s="9" t="str">
        <f t="shared" si="116"/>
        <v>230134</v>
      </c>
      <c r="D4749" s="9" t="str">
        <f>"230910211"</f>
        <v>230910211</v>
      </c>
      <c r="E4749" s="10">
        <v>0</v>
      </c>
      <c r="F4749" s="10"/>
      <c r="G4749" s="10">
        <v>0</v>
      </c>
      <c r="H4749" s="10"/>
      <c r="I4749" s="10">
        <v>0</v>
      </c>
    </row>
    <row r="4750" spans="1:9" s="3" customFormat="1" ht="21.75" customHeight="1">
      <c r="A4750" s="8" t="s">
        <v>28</v>
      </c>
      <c r="B4750" s="8" t="s">
        <v>17</v>
      </c>
      <c r="C4750" s="9" t="str">
        <f t="shared" si="116"/>
        <v>230134</v>
      </c>
      <c r="D4750" s="9" t="str">
        <f>"230910214"</f>
        <v>230910214</v>
      </c>
      <c r="E4750" s="10">
        <v>0</v>
      </c>
      <c r="F4750" s="10"/>
      <c r="G4750" s="10">
        <v>0</v>
      </c>
      <c r="H4750" s="10"/>
      <c r="I4750" s="10">
        <v>0</v>
      </c>
    </row>
    <row r="4751" spans="1:9" s="3" customFormat="1" ht="21.75" customHeight="1">
      <c r="A4751" s="8" t="s">
        <v>28</v>
      </c>
      <c r="B4751" s="8" t="s">
        <v>17</v>
      </c>
      <c r="C4751" s="9" t="str">
        <f t="shared" si="116"/>
        <v>230134</v>
      </c>
      <c r="D4751" s="9" t="str">
        <f>"230910215"</f>
        <v>230910215</v>
      </c>
      <c r="E4751" s="10">
        <v>0</v>
      </c>
      <c r="F4751" s="10"/>
      <c r="G4751" s="10">
        <v>0</v>
      </c>
      <c r="H4751" s="10"/>
      <c r="I4751" s="10">
        <v>0</v>
      </c>
    </row>
    <row r="4752" spans="1:9" s="3" customFormat="1" ht="21.75" customHeight="1">
      <c r="A4752" s="8" t="s">
        <v>28</v>
      </c>
      <c r="B4752" s="8" t="s">
        <v>17</v>
      </c>
      <c r="C4752" s="9" t="str">
        <f t="shared" si="116"/>
        <v>230134</v>
      </c>
      <c r="D4752" s="9" t="str">
        <f>"230910217"</f>
        <v>230910217</v>
      </c>
      <c r="E4752" s="10">
        <v>0</v>
      </c>
      <c r="F4752" s="10"/>
      <c r="G4752" s="10">
        <v>0</v>
      </c>
      <c r="H4752" s="10"/>
      <c r="I4752" s="10">
        <v>0</v>
      </c>
    </row>
    <row r="4753" spans="1:9" s="2" customFormat="1" ht="21.75" customHeight="1">
      <c r="A4753" s="8" t="s">
        <v>28</v>
      </c>
      <c r="B4753" s="8" t="s">
        <v>17</v>
      </c>
      <c r="C4753" s="9" t="str">
        <f t="shared" si="116"/>
        <v>230134</v>
      </c>
      <c r="D4753" s="9" t="str">
        <f>"230910218"</f>
        <v>230910218</v>
      </c>
      <c r="E4753" s="10">
        <v>0</v>
      </c>
      <c r="F4753" s="10"/>
      <c r="G4753" s="10">
        <v>0</v>
      </c>
      <c r="H4753" s="10"/>
      <c r="I4753" s="10">
        <v>0</v>
      </c>
    </row>
    <row r="4754" spans="1:9" s="2" customFormat="1" ht="21.75" customHeight="1">
      <c r="A4754" s="8" t="s">
        <v>28</v>
      </c>
      <c r="B4754" s="8" t="s">
        <v>17</v>
      </c>
      <c r="C4754" s="9" t="str">
        <f t="shared" si="116"/>
        <v>230134</v>
      </c>
      <c r="D4754" s="9" t="str">
        <f>"230910223"</f>
        <v>230910223</v>
      </c>
      <c r="E4754" s="10">
        <v>0</v>
      </c>
      <c r="F4754" s="10"/>
      <c r="G4754" s="10">
        <v>0</v>
      </c>
      <c r="H4754" s="10"/>
      <c r="I4754" s="10">
        <v>0</v>
      </c>
    </row>
    <row r="4755" spans="1:9" s="3" customFormat="1" ht="21.75" customHeight="1">
      <c r="A4755" s="8" t="s">
        <v>28</v>
      </c>
      <c r="B4755" s="8" t="s">
        <v>17</v>
      </c>
      <c r="C4755" s="9" t="str">
        <f t="shared" si="116"/>
        <v>230134</v>
      </c>
      <c r="D4755" s="9" t="str">
        <f>"230910228"</f>
        <v>230910228</v>
      </c>
      <c r="E4755" s="10">
        <v>0</v>
      </c>
      <c r="F4755" s="10"/>
      <c r="G4755" s="10">
        <v>0</v>
      </c>
      <c r="H4755" s="10"/>
      <c r="I4755" s="10">
        <v>0</v>
      </c>
    </row>
    <row r="4756" spans="1:9" s="2" customFormat="1" ht="21.75" customHeight="1">
      <c r="A4756" s="8" t="s">
        <v>28</v>
      </c>
      <c r="B4756" s="8" t="s">
        <v>17</v>
      </c>
      <c r="C4756" s="9" t="str">
        <f t="shared" si="116"/>
        <v>230134</v>
      </c>
      <c r="D4756" s="9" t="str">
        <f>"230910303"</f>
        <v>230910303</v>
      </c>
      <c r="E4756" s="10">
        <v>0</v>
      </c>
      <c r="F4756" s="10"/>
      <c r="G4756" s="10">
        <v>0</v>
      </c>
      <c r="H4756" s="10"/>
      <c r="I4756" s="10">
        <v>0</v>
      </c>
    </row>
    <row r="4757" spans="1:9" s="2" customFormat="1" ht="21.75" customHeight="1">
      <c r="A4757" s="8" t="s">
        <v>28</v>
      </c>
      <c r="B4757" s="8" t="s">
        <v>17</v>
      </c>
      <c r="C4757" s="9" t="str">
        <f t="shared" si="116"/>
        <v>230134</v>
      </c>
      <c r="D4757" s="9" t="str">
        <f>"230910305"</f>
        <v>230910305</v>
      </c>
      <c r="E4757" s="10">
        <v>0</v>
      </c>
      <c r="F4757" s="10"/>
      <c r="G4757" s="10">
        <v>0</v>
      </c>
      <c r="H4757" s="10"/>
      <c r="I4757" s="10">
        <v>0</v>
      </c>
    </row>
    <row r="4758" spans="1:9" s="2" customFormat="1" ht="21.75" customHeight="1">
      <c r="A4758" s="8" t="s">
        <v>28</v>
      </c>
      <c r="B4758" s="8" t="s">
        <v>17</v>
      </c>
      <c r="C4758" s="9" t="str">
        <f t="shared" si="116"/>
        <v>230134</v>
      </c>
      <c r="D4758" s="9" t="str">
        <f>"230910310"</f>
        <v>230910310</v>
      </c>
      <c r="E4758" s="10">
        <v>0</v>
      </c>
      <c r="F4758" s="10"/>
      <c r="G4758" s="10">
        <v>0</v>
      </c>
      <c r="H4758" s="10"/>
      <c r="I4758" s="10">
        <v>0</v>
      </c>
    </row>
    <row r="4759" spans="1:9" s="2" customFormat="1" ht="21.75" customHeight="1">
      <c r="A4759" s="8" t="s">
        <v>28</v>
      </c>
      <c r="B4759" s="8" t="s">
        <v>17</v>
      </c>
      <c r="C4759" s="9" t="str">
        <f t="shared" si="116"/>
        <v>230134</v>
      </c>
      <c r="D4759" s="9" t="str">
        <f>"230910313"</f>
        <v>230910313</v>
      </c>
      <c r="E4759" s="10">
        <v>0</v>
      </c>
      <c r="F4759" s="10"/>
      <c r="G4759" s="10">
        <v>0</v>
      </c>
      <c r="H4759" s="10"/>
      <c r="I4759" s="10">
        <v>0</v>
      </c>
    </row>
    <row r="4760" spans="1:9" s="2" customFormat="1" ht="21.75" customHeight="1">
      <c r="A4760" s="8" t="s">
        <v>28</v>
      </c>
      <c r="B4760" s="8" t="s">
        <v>17</v>
      </c>
      <c r="C4760" s="9" t="str">
        <f t="shared" si="116"/>
        <v>230134</v>
      </c>
      <c r="D4760" s="9" t="str">
        <f>"230910314"</f>
        <v>230910314</v>
      </c>
      <c r="E4760" s="10">
        <v>0</v>
      </c>
      <c r="F4760" s="10"/>
      <c r="G4760" s="10">
        <v>0</v>
      </c>
      <c r="H4760" s="10"/>
      <c r="I4760" s="10">
        <v>0</v>
      </c>
    </row>
    <row r="4761" spans="1:9" s="3" customFormat="1" ht="21.75" customHeight="1">
      <c r="A4761" s="8" t="s">
        <v>28</v>
      </c>
      <c r="B4761" s="8" t="s">
        <v>17</v>
      </c>
      <c r="C4761" s="9" t="str">
        <f t="shared" si="116"/>
        <v>230134</v>
      </c>
      <c r="D4761" s="9" t="str">
        <f>"230910315"</f>
        <v>230910315</v>
      </c>
      <c r="E4761" s="10">
        <v>0</v>
      </c>
      <c r="F4761" s="10"/>
      <c r="G4761" s="10">
        <v>0</v>
      </c>
      <c r="H4761" s="10"/>
      <c r="I4761" s="10">
        <v>0</v>
      </c>
    </row>
    <row r="4762" spans="1:9" s="2" customFormat="1" ht="21.75" customHeight="1">
      <c r="A4762" s="8" t="s">
        <v>28</v>
      </c>
      <c r="B4762" s="8" t="s">
        <v>17</v>
      </c>
      <c r="C4762" s="9" t="str">
        <f t="shared" si="116"/>
        <v>230134</v>
      </c>
      <c r="D4762" s="9" t="str">
        <f>"230910318"</f>
        <v>230910318</v>
      </c>
      <c r="E4762" s="10">
        <v>0</v>
      </c>
      <c r="F4762" s="10"/>
      <c r="G4762" s="10">
        <v>0</v>
      </c>
      <c r="H4762" s="10"/>
      <c r="I4762" s="10">
        <v>0</v>
      </c>
    </row>
    <row r="4763" spans="1:9" s="2" customFormat="1" ht="21.75" customHeight="1">
      <c r="A4763" s="8" t="s">
        <v>28</v>
      </c>
      <c r="B4763" s="8" t="s">
        <v>17</v>
      </c>
      <c r="C4763" s="9" t="str">
        <f t="shared" si="116"/>
        <v>230134</v>
      </c>
      <c r="D4763" s="9" t="str">
        <f>"230910320"</f>
        <v>230910320</v>
      </c>
      <c r="E4763" s="10">
        <v>0</v>
      </c>
      <c r="F4763" s="10"/>
      <c r="G4763" s="10">
        <v>0</v>
      </c>
      <c r="H4763" s="10"/>
      <c r="I4763" s="10">
        <v>0</v>
      </c>
    </row>
    <row r="4764" spans="1:9" s="3" customFormat="1" ht="21.75" customHeight="1">
      <c r="A4764" s="8" t="s">
        <v>28</v>
      </c>
      <c r="B4764" s="8" t="s">
        <v>17</v>
      </c>
      <c r="C4764" s="9" t="str">
        <f t="shared" si="116"/>
        <v>230134</v>
      </c>
      <c r="D4764" s="9" t="str">
        <f>"230910321"</f>
        <v>230910321</v>
      </c>
      <c r="E4764" s="10">
        <v>0</v>
      </c>
      <c r="F4764" s="10"/>
      <c r="G4764" s="10">
        <v>0</v>
      </c>
      <c r="H4764" s="10"/>
      <c r="I4764" s="10">
        <v>0</v>
      </c>
    </row>
    <row r="4765" spans="1:9" s="3" customFormat="1" ht="21.75" customHeight="1">
      <c r="A4765" s="8" t="s">
        <v>28</v>
      </c>
      <c r="B4765" s="8" t="s">
        <v>17</v>
      </c>
      <c r="C4765" s="9" t="str">
        <f t="shared" si="116"/>
        <v>230134</v>
      </c>
      <c r="D4765" s="9" t="str">
        <f>"230910322"</f>
        <v>230910322</v>
      </c>
      <c r="E4765" s="10">
        <v>0</v>
      </c>
      <c r="F4765" s="10"/>
      <c r="G4765" s="10">
        <v>0</v>
      </c>
      <c r="H4765" s="10"/>
      <c r="I4765" s="10">
        <v>0</v>
      </c>
    </row>
    <row r="4766" spans="1:9" s="1" customFormat="1" ht="21.75" customHeight="1">
      <c r="A4766" s="8" t="s">
        <v>29</v>
      </c>
      <c r="B4766" s="8" t="s">
        <v>15</v>
      </c>
      <c r="C4766" s="9" t="str">
        <f t="shared" ref="C4766:C4797" si="117">"230135"</f>
        <v>230135</v>
      </c>
      <c r="D4766" s="9" t="str">
        <f>"230910621"</f>
        <v>230910621</v>
      </c>
      <c r="E4766" s="10">
        <v>84.36</v>
      </c>
      <c r="F4766" s="10"/>
      <c r="G4766" s="10">
        <v>76.5</v>
      </c>
      <c r="H4766" s="10"/>
      <c r="I4766" s="10">
        <v>79.64</v>
      </c>
    </row>
    <row r="4767" spans="1:9" s="1" customFormat="1" ht="21.75" customHeight="1">
      <c r="A4767" s="8" t="s">
        <v>29</v>
      </c>
      <c r="B4767" s="8" t="s">
        <v>15</v>
      </c>
      <c r="C4767" s="9" t="str">
        <f t="shared" si="117"/>
        <v>230135</v>
      </c>
      <c r="D4767" s="9" t="str">
        <f>"230910408"</f>
        <v>230910408</v>
      </c>
      <c r="E4767" s="10">
        <v>81.459999999999994</v>
      </c>
      <c r="F4767" s="10"/>
      <c r="G4767" s="10">
        <v>77</v>
      </c>
      <c r="H4767" s="10"/>
      <c r="I4767" s="10">
        <v>78.78</v>
      </c>
    </row>
    <row r="4768" spans="1:9" ht="21.75" customHeight="1">
      <c r="A4768" s="8" t="s">
        <v>29</v>
      </c>
      <c r="B4768" s="8" t="s">
        <v>15</v>
      </c>
      <c r="C4768" s="9" t="str">
        <f t="shared" si="117"/>
        <v>230135</v>
      </c>
      <c r="D4768" s="9" t="str">
        <f>"230910427"</f>
        <v>230910427</v>
      </c>
      <c r="E4768" s="10">
        <v>73.2</v>
      </c>
      <c r="F4768" s="10"/>
      <c r="G4768" s="10">
        <v>80.5</v>
      </c>
      <c r="H4768" s="10"/>
      <c r="I4768" s="10">
        <v>77.58</v>
      </c>
    </row>
    <row r="4769" spans="1:9" ht="21.75" customHeight="1">
      <c r="A4769" s="8" t="s">
        <v>29</v>
      </c>
      <c r="B4769" s="8" t="s">
        <v>15</v>
      </c>
      <c r="C4769" s="9" t="str">
        <f t="shared" si="117"/>
        <v>230135</v>
      </c>
      <c r="D4769" s="9" t="str">
        <f>"230910602"</f>
        <v>230910602</v>
      </c>
      <c r="E4769" s="10">
        <v>78.27</v>
      </c>
      <c r="F4769" s="10"/>
      <c r="G4769" s="10">
        <v>76</v>
      </c>
      <c r="H4769" s="10"/>
      <c r="I4769" s="10">
        <v>76.91</v>
      </c>
    </row>
    <row r="4770" spans="1:9" ht="21.75" customHeight="1">
      <c r="A4770" s="8" t="s">
        <v>29</v>
      </c>
      <c r="B4770" s="8" t="s">
        <v>15</v>
      </c>
      <c r="C4770" s="9" t="str">
        <f t="shared" si="117"/>
        <v>230135</v>
      </c>
      <c r="D4770" s="9" t="str">
        <f>"230910612"</f>
        <v>230910612</v>
      </c>
      <c r="E4770" s="10">
        <v>73.77</v>
      </c>
      <c r="F4770" s="10"/>
      <c r="G4770" s="10">
        <v>78.5</v>
      </c>
      <c r="H4770" s="10"/>
      <c r="I4770" s="10">
        <v>76.61</v>
      </c>
    </row>
    <row r="4771" spans="1:9" s="1" customFormat="1" ht="21.75" customHeight="1">
      <c r="A4771" s="8" t="s">
        <v>29</v>
      </c>
      <c r="B4771" s="8" t="s">
        <v>15</v>
      </c>
      <c r="C4771" s="9" t="str">
        <f t="shared" si="117"/>
        <v>230135</v>
      </c>
      <c r="D4771" s="9" t="str">
        <f>"230910423"</f>
        <v>230910423</v>
      </c>
      <c r="E4771" s="10">
        <v>81.03</v>
      </c>
      <c r="F4771" s="10"/>
      <c r="G4771" s="10">
        <v>73.5</v>
      </c>
      <c r="H4771" s="10"/>
      <c r="I4771" s="10">
        <v>76.510000000000005</v>
      </c>
    </row>
    <row r="4772" spans="1:9" s="1" customFormat="1" ht="21.75" customHeight="1">
      <c r="A4772" s="8" t="s">
        <v>29</v>
      </c>
      <c r="B4772" s="8" t="s">
        <v>15</v>
      </c>
      <c r="C4772" s="9" t="str">
        <f t="shared" si="117"/>
        <v>230135</v>
      </c>
      <c r="D4772" s="9" t="str">
        <f>"230910412"</f>
        <v>230910412</v>
      </c>
      <c r="E4772" s="10">
        <v>75.13</v>
      </c>
      <c r="F4772" s="10"/>
      <c r="G4772" s="10">
        <v>75</v>
      </c>
      <c r="H4772" s="10"/>
      <c r="I4772" s="10">
        <v>75.05</v>
      </c>
    </row>
    <row r="4773" spans="1:9" ht="21.75" customHeight="1">
      <c r="A4773" s="8" t="s">
        <v>29</v>
      </c>
      <c r="B4773" s="8" t="s">
        <v>15</v>
      </c>
      <c r="C4773" s="9" t="str">
        <f t="shared" si="117"/>
        <v>230135</v>
      </c>
      <c r="D4773" s="9" t="str">
        <f>"230910514"</f>
        <v>230910514</v>
      </c>
      <c r="E4773" s="10">
        <v>78.48</v>
      </c>
      <c r="F4773" s="10"/>
      <c r="G4773" s="10">
        <v>72.5</v>
      </c>
      <c r="H4773" s="10"/>
      <c r="I4773" s="10">
        <v>74.89</v>
      </c>
    </row>
    <row r="4774" spans="1:9" ht="21.75" customHeight="1">
      <c r="A4774" s="8" t="s">
        <v>29</v>
      </c>
      <c r="B4774" s="8" t="s">
        <v>15</v>
      </c>
      <c r="C4774" s="9" t="str">
        <f t="shared" si="117"/>
        <v>230135</v>
      </c>
      <c r="D4774" s="9" t="str">
        <f>"230910522"</f>
        <v>230910522</v>
      </c>
      <c r="E4774" s="10">
        <v>73.069999999999993</v>
      </c>
      <c r="F4774" s="10"/>
      <c r="G4774" s="10">
        <v>76</v>
      </c>
      <c r="H4774" s="10"/>
      <c r="I4774" s="10">
        <v>74.83</v>
      </c>
    </row>
    <row r="4775" spans="1:9" s="1" customFormat="1" ht="21.75" customHeight="1">
      <c r="A4775" s="8" t="s">
        <v>29</v>
      </c>
      <c r="B4775" s="8" t="s">
        <v>15</v>
      </c>
      <c r="C4775" s="9" t="str">
        <f t="shared" si="117"/>
        <v>230135</v>
      </c>
      <c r="D4775" s="9" t="str">
        <f>"230910425"</f>
        <v>230910425</v>
      </c>
      <c r="E4775" s="10">
        <v>71.47</v>
      </c>
      <c r="F4775" s="10"/>
      <c r="G4775" s="10">
        <v>77</v>
      </c>
      <c r="H4775" s="10"/>
      <c r="I4775" s="10">
        <v>74.790000000000006</v>
      </c>
    </row>
    <row r="4776" spans="1:9" ht="21.75" customHeight="1">
      <c r="A4776" s="8" t="s">
        <v>29</v>
      </c>
      <c r="B4776" s="8" t="s">
        <v>15</v>
      </c>
      <c r="C4776" s="9" t="str">
        <f t="shared" si="117"/>
        <v>230135</v>
      </c>
      <c r="D4776" s="9" t="str">
        <f>"230910608"</f>
        <v>230910608</v>
      </c>
      <c r="E4776" s="10">
        <v>73.09</v>
      </c>
      <c r="F4776" s="10"/>
      <c r="G4776" s="10">
        <v>75.5</v>
      </c>
      <c r="H4776" s="10"/>
      <c r="I4776" s="10">
        <v>74.540000000000006</v>
      </c>
    </row>
    <row r="4777" spans="1:9" ht="21.75" customHeight="1">
      <c r="A4777" s="8" t="s">
        <v>29</v>
      </c>
      <c r="B4777" s="8" t="s">
        <v>15</v>
      </c>
      <c r="C4777" s="9" t="str">
        <f t="shared" si="117"/>
        <v>230135</v>
      </c>
      <c r="D4777" s="9" t="str">
        <f>"230910523"</f>
        <v>230910523</v>
      </c>
      <c r="E4777" s="10">
        <v>80.67</v>
      </c>
      <c r="F4777" s="10"/>
      <c r="G4777" s="10">
        <v>70</v>
      </c>
      <c r="H4777" s="10"/>
      <c r="I4777" s="10">
        <v>74.27</v>
      </c>
    </row>
    <row r="4778" spans="1:9" ht="21.75" customHeight="1">
      <c r="A4778" s="8" t="s">
        <v>29</v>
      </c>
      <c r="B4778" s="8" t="s">
        <v>15</v>
      </c>
      <c r="C4778" s="9" t="str">
        <f t="shared" si="117"/>
        <v>230135</v>
      </c>
      <c r="D4778" s="9" t="str">
        <f>"230910525"</f>
        <v>230910525</v>
      </c>
      <c r="E4778" s="10">
        <v>70.31</v>
      </c>
      <c r="F4778" s="10"/>
      <c r="G4778" s="10">
        <v>76.5</v>
      </c>
      <c r="H4778" s="10"/>
      <c r="I4778" s="10">
        <v>74.02</v>
      </c>
    </row>
    <row r="4779" spans="1:9" s="1" customFormat="1" ht="21.75" customHeight="1">
      <c r="A4779" s="8" t="s">
        <v>29</v>
      </c>
      <c r="B4779" s="8" t="s">
        <v>15</v>
      </c>
      <c r="C4779" s="9" t="str">
        <f t="shared" si="117"/>
        <v>230135</v>
      </c>
      <c r="D4779" s="9" t="str">
        <f>"230910627"</f>
        <v>230910627</v>
      </c>
      <c r="E4779" s="10">
        <v>75.489999999999995</v>
      </c>
      <c r="F4779" s="10"/>
      <c r="G4779" s="10">
        <v>73</v>
      </c>
      <c r="H4779" s="10"/>
      <c r="I4779" s="10">
        <v>74</v>
      </c>
    </row>
    <row r="4780" spans="1:9" ht="21.75" customHeight="1">
      <c r="A4780" s="8" t="s">
        <v>29</v>
      </c>
      <c r="B4780" s="8" t="s">
        <v>15</v>
      </c>
      <c r="C4780" s="9" t="str">
        <f t="shared" si="117"/>
        <v>230135</v>
      </c>
      <c r="D4780" s="9" t="str">
        <f>"230910509"</f>
        <v>230910509</v>
      </c>
      <c r="E4780" s="10">
        <v>70.67</v>
      </c>
      <c r="F4780" s="10"/>
      <c r="G4780" s="10">
        <v>75.5</v>
      </c>
      <c r="H4780" s="10"/>
      <c r="I4780" s="10">
        <v>73.569999999999993</v>
      </c>
    </row>
    <row r="4781" spans="1:9" ht="21.75" customHeight="1">
      <c r="A4781" s="8" t="s">
        <v>29</v>
      </c>
      <c r="B4781" s="8" t="s">
        <v>15</v>
      </c>
      <c r="C4781" s="9" t="str">
        <f t="shared" si="117"/>
        <v>230135</v>
      </c>
      <c r="D4781" s="9" t="str">
        <f>"230910510"</f>
        <v>230910510</v>
      </c>
      <c r="E4781" s="10">
        <v>76.64</v>
      </c>
      <c r="F4781" s="10"/>
      <c r="G4781" s="10">
        <v>71</v>
      </c>
      <c r="H4781" s="10"/>
      <c r="I4781" s="10">
        <v>73.260000000000005</v>
      </c>
    </row>
    <row r="4782" spans="1:9" ht="21.75" customHeight="1">
      <c r="A4782" s="8" t="s">
        <v>29</v>
      </c>
      <c r="B4782" s="8" t="s">
        <v>15</v>
      </c>
      <c r="C4782" s="9" t="str">
        <f t="shared" si="117"/>
        <v>230135</v>
      </c>
      <c r="D4782" s="9" t="str">
        <f>"230910620"</f>
        <v>230910620</v>
      </c>
      <c r="E4782" s="10">
        <v>72.16</v>
      </c>
      <c r="F4782" s="10"/>
      <c r="G4782" s="10">
        <v>73</v>
      </c>
      <c r="H4782" s="10"/>
      <c r="I4782" s="10">
        <v>72.66</v>
      </c>
    </row>
    <row r="4783" spans="1:9" ht="21.75" customHeight="1">
      <c r="A4783" s="8" t="s">
        <v>29</v>
      </c>
      <c r="B4783" s="8" t="s">
        <v>15</v>
      </c>
      <c r="C4783" s="9" t="str">
        <f t="shared" si="117"/>
        <v>230135</v>
      </c>
      <c r="D4783" s="9" t="str">
        <f>"230910516"</f>
        <v>230910516</v>
      </c>
      <c r="E4783" s="10">
        <v>71.239999999999995</v>
      </c>
      <c r="F4783" s="10"/>
      <c r="G4783" s="10">
        <v>73.5</v>
      </c>
      <c r="H4783" s="10"/>
      <c r="I4783" s="10">
        <v>72.599999999999994</v>
      </c>
    </row>
    <row r="4784" spans="1:9" ht="21.75" customHeight="1">
      <c r="A4784" s="8" t="s">
        <v>29</v>
      </c>
      <c r="B4784" s="8" t="s">
        <v>15</v>
      </c>
      <c r="C4784" s="9" t="str">
        <f t="shared" si="117"/>
        <v>230135</v>
      </c>
      <c r="D4784" s="9" t="str">
        <f>"230910501"</f>
        <v>230910501</v>
      </c>
      <c r="E4784" s="10">
        <v>69.040000000000006</v>
      </c>
      <c r="F4784" s="10"/>
      <c r="G4784" s="10">
        <v>74.5</v>
      </c>
      <c r="H4784" s="10"/>
      <c r="I4784" s="10">
        <v>72.319999999999993</v>
      </c>
    </row>
    <row r="4785" spans="1:9" ht="21.75" customHeight="1">
      <c r="A4785" s="8" t="s">
        <v>29</v>
      </c>
      <c r="B4785" s="8" t="s">
        <v>15</v>
      </c>
      <c r="C4785" s="9" t="str">
        <f t="shared" si="117"/>
        <v>230135</v>
      </c>
      <c r="D4785" s="9" t="str">
        <f>"230910625"</f>
        <v>230910625</v>
      </c>
      <c r="E4785" s="10">
        <v>67.900000000000006</v>
      </c>
      <c r="F4785" s="10"/>
      <c r="G4785" s="10">
        <v>75</v>
      </c>
      <c r="H4785" s="10"/>
      <c r="I4785" s="10">
        <v>72.16</v>
      </c>
    </row>
    <row r="4786" spans="1:9" ht="21.75" customHeight="1">
      <c r="A4786" s="8" t="s">
        <v>29</v>
      </c>
      <c r="B4786" s="8" t="s">
        <v>15</v>
      </c>
      <c r="C4786" s="9" t="str">
        <f t="shared" si="117"/>
        <v>230135</v>
      </c>
      <c r="D4786" s="9" t="str">
        <f>"230910406"</f>
        <v>230910406</v>
      </c>
      <c r="E4786" s="10">
        <v>73.09</v>
      </c>
      <c r="F4786" s="10"/>
      <c r="G4786" s="10">
        <v>71</v>
      </c>
      <c r="H4786" s="10"/>
      <c r="I4786" s="10">
        <v>71.84</v>
      </c>
    </row>
    <row r="4787" spans="1:9" ht="21.75" customHeight="1">
      <c r="A4787" s="8" t="s">
        <v>29</v>
      </c>
      <c r="B4787" s="8" t="s">
        <v>15</v>
      </c>
      <c r="C4787" s="9" t="str">
        <f t="shared" si="117"/>
        <v>230135</v>
      </c>
      <c r="D4787" s="9" t="str">
        <f>"230910624"</f>
        <v>230910624</v>
      </c>
      <c r="E4787" s="10">
        <v>70.09</v>
      </c>
      <c r="F4787" s="10"/>
      <c r="G4787" s="10">
        <v>72.5</v>
      </c>
      <c r="H4787" s="10"/>
      <c r="I4787" s="10">
        <v>71.540000000000006</v>
      </c>
    </row>
    <row r="4788" spans="1:9" s="1" customFormat="1" ht="21.75" customHeight="1">
      <c r="A4788" s="8" t="s">
        <v>29</v>
      </c>
      <c r="B4788" s="8" t="s">
        <v>15</v>
      </c>
      <c r="C4788" s="9" t="str">
        <f t="shared" si="117"/>
        <v>230135</v>
      </c>
      <c r="D4788" s="9" t="str">
        <f>"230910511"</f>
        <v>230910511</v>
      </c>
      <c r="E4788" s="10">
        <v>71.459999999999994</v>
      </c>
      <c r="F4788" s="10"/>
      <c r="G4788" s="10">
        <v>71.5</v>
      </c>
      <c r="H4788" s="10"/>
      <c r="I4788" s="10">
        <v>71.48</v>
      </c>
    </row>
    <row r="4789" spans="1:9" ht="21.75" customHeight="1">
      <c r="A4789" s="8" t="s">
        <v>29</v>
      </c>
      <c r="B4789" s="8" t="s">
        <v>15</v>
      </c>
      <c r="C4789" s="9" t="str">
        <f t="shared" si="117"/>
        <v>230135</v>
      </c>
      <c r="D4789" s="9" t="str">
        <f>"230910424"</f>
        <v>230910424</v>
      </c>
      <c r="E4789" s="10">
        <v>66.64</v>
      </c>
      <c r="F4789" s="10"/>
      <c r="G4789" s="10">
        <v>74.5</v>
      </c>
      <c r="H4789" s="10"/>
      <c r="I4789" s="10">
        <v>71.36</v>
      </c>
    </row>
    <row r="4790" spans="1:9" ht="21.75" customHeight="1">
      <c r="A4790" s="8" t="s">
        <v>29</v>
      </c>
      <c r="B4790" s="8" t="s">
        <v>15</v>
      </c>
      <c r="C4790" s="9" t="str">
        <f t="shared" si="117"/>
        <v>230135</v>
      </c>
      <c r="D4790" s="9" t="str">
        <f>"230910512"</f>
        <v>230910512</v>
      </c>
      <c r="E4790" s="10">
        <v>68.47</v>
      </c>
      <c r="F4790" s="10"/>
      <c r="G4790" s="10">
        <v>73</v>
      </c>
      <c r="H4790" s="10"/>
      <c r="I4790" s="10">
        <v>71.19</v>
      </c>
    </row>
    <row r="4791" spans="1:9" ht="21.75" customHeight="1">
      <c r="A4791" s="8" t="s">
        <v>29</v>
      </c>
      <c r="B4791" s="8" t="s">
        <v>15</v>
      </c>
      <c r="C4791" s="9" t="str">
        <f t="shared" si="117"/>
        <v>230135</v>
      </c>
      <c r="D4791" s="9" t="str">
        <f>"230910428"</f>
        <v>230910428</v>
      </c>
      <c r="E4791" s="10">
        <v>66.09</v>
      </c>
      <c r="F4791" s="10"/>
      <c r="G4791" s="10">
        <v>74.5</v>
      </c>
      <c r="H4791" s="10"/>
      <c r="I4791" s="10">
        <v>71.14</v>
      </c>
    </row>
    <row r="4792" spans="1:9" s="1" customFormat="1" ht="21.75" customHeight="1">
      <c r="A4792" s="8" t="s">
        <v>29</v>
      </c>
      <c r="B4792" s="8" t="s">
        <v>15</v>
      </c>
      <c r="C4792" s="9" t="str">
        <f t="shared" si="117"/>
        <v>230135</v>
      </c>
      <c r="D4792" s="9" t="str">
        <f>"230910527"</f>
        <v>230910527</v>
      </c>
      <c r="E4792" s="10">
        <v>71.8</v>
      </c>
      <c r="F4792" s="10"/>
      <c r="G4792" s="10">
        <v>70.5</v>
      </c>
      <c r="H4792" s="10"/>
      <c r="I4792" s="10">
        <v>71.02</v>
      </c>
    </row>
    <row r="4793" spans="1:9" ht="21.75" customHeight="1">
      <c r="A4793" s="8" t="s">
        <v>29</v>
      </c>
      <c r="B4793" s="8" t="s">
        <v>15</v>
      </c>
      <c r="C4793" s="9" t="str">
        <f t="shared" si="117"/>
        <v>230135</v>
      </c>
      <c r="D4793" s="9" t="str">
        <f>"230910605"</f>
        <v>230910605</v>
      </c>
      <c r="E4793" s="10">
        <v>77.010000000000005</v>
      </c>
      <c r="F4793" s="10"/>
      <c r="G4793" s="10">
        <v>67</v>
      </c>
      <c r="H4793" s="10"/>
      <c r="I4793" s="10">
        <v>71</v>
      </c>
    </row>
    <row r="4794" spans="1:9" s="1" customFormat="1" ht="21.75" customHeight="1">
      <c r="A4794" s="8" t="s">
        <v>29</v>
      </c>
      <c r="B4794" s="8" t="s">
        <v>15</v>
      </c>
      <c r="C4794" s="9" t="str">
        <f t="shared" si="117"/>
        <v>230135</v>
      </c>
      <c r="D4794" s="9" t="str">
        <f>"230910614"</f>
        <v>230910614</v>
      </c>
      <c r="E4794" s="10">
        <v>65.95</v>
      </c>
      <c r="F4794" s="10"/>
      <c r="G4794" s="10">
        <v>74</v>
      </c>
      <c r="H4794" s="10"/>
      <c r="I4794" s="10">
        <v>70.78</v>
      </c>
    </row>
    <row r="4795" spans="1:9" ht="21.75" customHeight="1">
      <c r="A4795" s="8" t="s">
        <v>29</v>
      </c>
      <c r="B4795" s="8" t="s">
        <v>15</v>
      </c>
      <c r="C4795" s="9" t="str">
        <f t="shared" si="117"/>
        <v>230135</v>
      </c>
      <c r="D4795" s="9" t="str">
        <f>"230910411"</f>
        <v>230910411</v>
      </c>
      <c r="E4795" s="10">
        <v>74.81</v>
      </c>
      <c r="F4795" s="10"/>
      <c r="G4795" s="10">
        <v>68</v>
      </c>
      <c r="H4795" s="10"/>
      <c r="I4795" s="10">
        <v>70.72</v>
      </c>
    </row>
    <row r="4796" spans="1:9" ht="21.75" customHeight="1">
      <c r="A4796" s="8" t="s">
        <v>29</v>
      </c>
      <c r="B4796" s="8" t="s">
        <v>15</v>
      </c>
      <c r="C4796" s="9" t="str">
        <f t="shared" si="117"/>
        <v>230135</v>
      </c>
      <c r="D4796" s="9" t="str">
        <f>"230910419"</f>
        <v>230910419</v>
      </c>
      <c r="E4796" s="10">
        <v>72.73</v>
      </c>
      <c r="F4796" s="10"/>
      <c r="G4796" s="10">
        <v>69</v>
      </c>
      <c r="H4796" s="10"/>
      <c r="I4796" s="10">
        <v>70.489999999999995</v>
      </c>
    </row>
    <row r="4797" spans="1:9" s="1" customFormat="1" ht="21.75" customHeight="1">
      <c r="A4797" s="8" t="s">
        <v>29</v>
      </c>
      <c r="B4797" s="8" t="s">
        <v>15</v>
      </c>
      <c r="C4797" s="9" t="str">
        <f t="shared" si="117"/>
        <v>230135</v>
      </c>
      <c r="D4797" s="9" t="str">
        <f>"230910405"</f>
        <v>230910405</v>
      </c>
      <c r="E4797" s="10">
        <v>63.08</v>
      </c>
      <c r="F4797" s="10"/>
      <c r="G4797" s="10">
        <v>75</v>
      </c>
      <c r="H4797" s="10"/>
      <c r="I4797" s="10">
        <v>70.23</v>
      </c>
    </row>
    <row r="4798" spans="1:9" s="1" customFormat="1" ht="21.75" customHeight="1">
      <c r="A4798" s="8" t="s">
        <v>29</v>
      </c>
      <c r="B4798" s="8" t="s">
        <v>15</v>
      </c>
      <c r="C4798" s="9" t="str">
        <f t="shared" ref="C4798:C4829" si="118">"230135"</f>
        <v>230135</v>
      </c>
      <c r="D4798" s="9" t="str">
        <f>"230910616"</f>
        <v>230910616</v>
      </c>
      <c r="E4798" s="10">
        <v>69.739999999999995</v>
      </c>
      <c r="F4798" s="10"/>
      <c r="G4798" s="10">
        <v>70.5</v>
      </c>
      <c r="H4798" s="10"/>
      <c r="I4798" s="10">
        <v>70.2</v>
      </c>
    </row>
    <row r="4799" spans="1:9" ht="21.75" customHeight="1">
      <c r="A4799" s="8" t="s">
        <v>29</v>
      </c>
      <c r="B4799" s="8" t="s">
        <v>15</v>
      </c>
      <c r="C4799" s="9" t="str">
        <f t="shared" si="118"/>
        <v>230135</v>
      </c>
      <c r="D4799" s="9" t="str">
        <f>"230910507"</f>
        <v>230910507</v>
      </c>
      <c r="E4799" s="10">
        <v>64.239999999999995</v>
      </c>
      <c r="F4799" s="10"/>
      <c r="G4799" s="10">
        <v>74</v>
      </c>
      <c r="H4799" s="10"/>
      <c r="I4799" s="10">
        <v>70.099999999999994</v>
      </c>
    </row>
    <row r="4800" spans="1:9" s="1" customFormat="1" ht="21.75" customHeight="1">
      <c r="A4800" s="8" t="s">
        <v>29</v>
      </c>
      <c r="B4800" s="8" t="s">
        <v>15</v>
      </c>
      <c r="C4800" s="9" t="str">
        <f t="shared" si="118"/>
        <v>230135</v>
      </c>
      <c r="D4800" s="9" t="str">
        <f>"230910529"</f>
        <v>230910529</v>
      </c>
      <c r="E4800" s="10">
        <v>65.72</v>
      </c>
      <c r="F4800" s="10"/>
      <c r="G4800" s="10">
        <v>73</v>
      </c>
      <c r="H4800" s="10"/>
      <c r="I4800" s="10">
        <v>70.09</v>
      </c>
    </row>
    <row r="4801" spans="1:9" s="1" customFormat="1" ht="21.75" customHeight="1">
      <c r="A4801" s="8" t="s">
        <v>29</v>
      </c>
      <c r="B4801" s="8" t="s">
        <v>15</v>
      </c>
      <c r="C4801" s="9" t="str">
        <f t="shared" si="118"/>
        <v>230135</v>
      </c>
      <c r="D4801" s="9" t="str">
        <f>"230910629"</f>
        <v>230910629</v>
      </c>
      <c r="E4801" s="10">
        <v>61.23</v>
      </c>
      <c r="F4801" s="10"/>
      <c r="G4801" s="10">
        <v>76</v>
      </c>
      <c r="H4801" s="10"/>
      <c r="I4801" s="10">
        <v>70.09</v>
      </c>
    </row>
    <row r="4802" spans="1:9" s="1" customFormat="1" ht="21.75" customHeight="1">
      <c r="A4802" s="8" t="s">
        <v>29</v>
      </c>
      <c r="B4802" s="8" t="s">
        <v>15</v>
      </c>
      <c r="C4802" s="9" t="str">
        <f t="shared" si="118"/>
        <v>230135</v>
      </c>
      <c r="D4802" s="9" t="str">
        <f>"230910520"</f>
        <v>230910520</v>
      </c>
      <c r="E4802" s="10">
        <v>69.05</v>
      </c>
      <c r="F4802" s="10"/>
      <c r="G4802" s="10">
        <v>70.5</v>
      </c>
      <c r="H4802" s="10"/>
      <c r="I4802" s="10">
        <v>69.92</v>
      </c>
    </row>
    <row r="4803" spans="1:9" ht="21.75" customHeight="1">
      <c r="A4803" s="8" t="s">
        <v>29</v>
      </c>
      <c r="B4803" s="8" t="s">
        <v>15</v>
      </c>
      <c r="C4803" s="9" t="str">
        <f t="shared" si="118"/>
        <v>230135</v>
      </c>
      <c r="D4803" s="9" t="str">
        <f>"230910506"</f>
        <v>230910506</v>
      </c>
      <c r="E4803" s="10">
        <v>69.75</v>
      </c>
      <c r="F4803" s="10"/>
      <c r="G4803" s="10">
        <v>70</v>
      </c>
      <c r="H4803" s="10"/>
      <c r="I4803" s="10">
        <v>69.900000000000006</v>
      </c>
    </row>
    <row r="4804" spans="1:9" ht="21.75" customHeight="1">
      <c r="A4804" s="8" t="s">
        <v>29</v>
      </c>
      <c r="B4804" s="8" t="s">
        <v>15</v>
      </c>
      <c r="C4804" s="9" t="str">
        <f t="shared" si="118"/>
        <v>230135</v>
      </c>
      <c r="D4804" s="9" t="str">
        <f>"230910410"</f>
        <v>230910410</v>
      </c>
      <c r="E4804" s="10">
        <v>65.37</v>
      </c>
      <c r="F4804" s="10"/>
      <c r="G4804" s="10">
        <v>72</v>
      </c>
      <c r="H4804" s="10"/>
      <c r="I4804" s="10">
        <v>69.349999999999994</v>
      </c>
    </row>
    <row r="4805" spans="1:9" ht="21.75" customHeight="1">
      <c r="A4805" s="8" t="s">
        <v>29</v>
      </c>
      <c r="B4805" s="8" t="s">
        <v>15</v>
      </c>
      <c r="C4805" s="9" t="str">
        <f t="shared" si="118"/>
        <v>230135</v>
      </c>
      <c r="D4805" s="9" t="str">
        <f>"230910404"</f>
        <v>230910404</v>
      </c>
      <c r="E4805" s="10">
        <v>71.12</v>
      </c>
      <c r="F4805" s="10"/>
      <c r="G4805" s="10">
        <v>67.5</v>
      </c>
      <c r="H4805" s="10"/>
      <c r="I4805" s="10">
        <v>68.95</v>
      </c>
    </row>
    <row r="4806" spans="1:9" s="1" customFormat="1" ht="21.75" customHeight="1">
      <c r="A4806" s="8" t="s">
        <v>29</v>
      </c>
      <c r="B4806" s="8" t="s">
        <v>15</v>
      </c>
      <c r="C4806" s="9" t="str">
        <f t="shared" si="118"/>
        <v>230135</v>
      </c>
      <c r="D4806" s="9" t="str">
        <f>"230910422"</f>
        <v>230910422</v>
      </c>
      <c r="E4806" s="10">
        <v>59.64</v>
      </c>
      <c r="F4806" s="10"/>
      <c r="G4806" s="10">
        <v>75</v>
      </c>
      <c r="H4806" s="10"/>
      <c r="I4806" s="10">
        <v>68.86</v>
      </c>
    </row>
    <row r="4807" spans="1:9" s="1" customFormat="1" ht="21.75" customHeight="1">
      <c r="A4807" s="8" t="s">
        <v>29</v>
      </c>
      <c r="B4807" s="8" t="s">
        <v>15</v>
      </c>
      <c r="C4807" s="9" t="str">
        <f t="shared" si="118"/>
        <v>230135</v>
      </c>
      <c r="D4807" s="9" t="str">
        <f>"230910528"</f>
        <v>230910528</v>
      </c>
      <c r="E4807" s="10">
        <v>62.95</v>
      </c>
      <c r="F4807" s="10"/>
      <c r="G4807" s="10">
        <v>70.5</v>
      </c>
      <c r="H4807" s="10"/>
      <c r="I4807" s="10">
        <v>67.48</v>
      </c>
    </row>
    <row r="4808" spans="1:9" ht="21.75" customHeight="1">
      <c r="A4808" s="8" t="s">
        <v>29</v>
      </c>
      <c r="B4808" s="8" t="s">
        <v>15</v>
      </c>
      <c r="C4808" s="9" t="str">
        <f t="shared" si="118"/>
        <v>230135</v>
      </c>
      <c r="D4808" s="9" t="str">
        <f>"230910517"</f>
        <v>230910517</v>
      </c>
      <c r="E4808" s="10">
        <v>69.63</v>
      </c>
      <c r="F4808" s="10"/>
      <c r="G4808" s="10">
        <v>66</v>
      </c>
      <c r="H4808" s="10"/>
      <c r="I4808" s="10">
        <v>67.45</v>
      </c>
    </row>
    <row r="4809" spans="1:9" ht="21.75" customHeight="1">
      <c r="A4809" s="8" t="s">
        <v>29</v>
      </c>
      <c r="B4809" s="8" t="s">
        <v>15</v>
      </c>
      <c r="C4809" s="9" t="str">
        <f t="shared" si="118"/>
        <v>230135</v>
      </c>
      <c r="D4809" s="9" t="str">
        <f>"230910518"</f>
        <v>230910518</v>
      </c>
      <c r="E4809" s="10">
        <v>62.85</v>
      </c>
      <c r="F4809" s="10"/>
      <c r="G4809" s="10">
        <v>70.5</v>
      </c>
      <c r="H4809" s="10"/>
      <c r="I4809" s="10">
        <v>67.44</v>
      </c>
    </row>
    <row r="4810" spans="1:9" ht="21.75" customHeight="1">
      <c r="A4810" s="8" t="s">
        <v>29</v>
      </c>
      <c r="B4810" s="8" t="s">
        <v>15</v>
      </c>
      <c r="C4810" s="9" t="str">
        <f t="shared" si="118"/>
        <v>230135</v>
      </c>
      <c r="D4810" s="9" t="str">
        <f>"230910519"</f>
        <v>230910519</v>
      </c>
      <c r="E4810" s="10">
        <v>75.489999999999995</v>
      </c>
      <c r="F4810" s="10"/>
      <c r="G4810" s="10">
        <v>62</v>
      </c>
      <c r="H4810" s="10"/>
      <c r="I4810" s="10">
        <v>67.400000000000006</v>
      </c>
    </row>
    <row r="4811" spans="1:9" s="1" customFormat="1" ht="21.75" customHeight="1">
      <c r="A4811" s="8" t="s">
        <v>29</v>
      </c>
      <c r="B4811" s="8" t="s">
        <v>15</v>
      </c>
      <c r="C4811" s="9" t="str">
        <f t="shared" si="118"/>
        <v>230135</v>
      </c>
      <c r="D4811" s="9" t="str">
        <f>"230910601"</f>
        <v>230910601</v>
      </c>
      <c r="E4811" s="10">
        <v>72.16</v>
      </c>
      <c r="F4811" s="10"/>
      <c r="G4811" s="10">
        <v>63.5</v>
      </c>
      <c r="H4811" s="10"/>
      <c r="I4811" s="10">
        <v>66.959999999999994</v>
      </c>
    </row>
    <row r="4812" spans="1:9" ht="21.75" customHeight="1">
      <c r="A4812" s="8" t="s">
        <v>29</v>
      </c>
      <c r="B4812" s="8" t="s">
        <v>15</v>
      </c>
      <c r="C4812" s="9" t="str">
        <f t="shared" si="118"/>
        <v>230135</v>
      </c>
      <c r="D4812" s="9" t="str">
        <f>"230910604"</f>
        <v>230910604</v>
      </c>
      <c r="E4812" s="10">
        <v>66.069999999999993</v>
      </c>
      <c r="F4812" s="10"/>
      <c r="G4812" s="10">
        <v>66.5</v>
      </c>
      <c r="H4812" s="10"/>
      <c r="I4812" s="10">
        <v>66.33</v>
      </c>
    </row>
    <row r="4813" spans="1:9" s="1" customFormat="1" ht="21.75" customHeight="1">
      <c r="A4813" s="8" t="s">
        <v>29</v>
      </c>
      <c r="B4813" s="8" t="s">
        <v>15</v>
      </c>
      <c r="C4813" s="9" t="str">
        <f t="shared" si="118"/>
        <v>230135</v>
      </c>
      <c r="D4813" s="9" t="str">
        <f>"230910606"</f>
        <v>230910606</v>
      </c>
      <c r="E4813" s="10">
        <v>54.35</v>
      </c>
      <c r="F4813" s="10"/>
      <c r="G4813" s="10">
        <v>74</v>
      </c>
      <c r="H4813" s="10"/>
      <c r="I4813" s="10">
        <v>66.14</v>
      </c>
    </row>
    <row r="4814" spans="1:9" ht="21.75" customHeight="1">
      <c r="A4814" s="8" t="s">
        <v>29</v>
      </c>
      <c r="B4814" s="8" t="s">
        <v>15</v>
      </c>
      <c r="C4814" s="9" t="str">
        <f t="shared" si="118"/>
        <v>230135</v>
      </c>
      <c r="D4814" s="9" t="str">
        <f>"230910508"</f>
        <v>230910508</v>
      </c>
      <c r="E4814" s="10">
        <v>63.31</v>
      </c>
      <c r="F4814" s="10"/>
      <c r="G4814" s="10">
        <v>67.5</v>
      </c>
      <c r="H4814" s="10"/>
      <c r="I4814" s="10">
        <v>65.819999999999993</v>
      </c>
    </row>
    <row r="4815" spans="1:9" ht="21.75" customHeight="1">
      <c r="A4815" s="8" t="s">
        <v>29</v>
      </c>
      <c r="B4815" s="8" t="s">
        <v>15</v>
      </c>
      <c r="C4815" s="9" t="str">
        <f t="shared" si="118"/>
        <v>230135</v>
      </c>
      <c r="D4815" s="9" t="str">
        <f>"230910413"</f>
        <v>230910413</v>
      </c>
      <c r="E4815" s="10">
        <v>65.94</v>
      </c>
      <c r="F4815" s="10"/>
      <c r="G4815" s="10">
        <v>64.5</v>
      </c>
      <c r="H4815" s="10"/>
      <c r="I4815" s="10">
        <v>65.08</v>
      </c>
    </row>
    <row r="4816" spans="1:9" ht="21.75" customHeight="1">
      <c r="A4816" s="8" t="s">
        <v>29</v>
      </c>
      <c r="B4816" s="8" t="s">
        <v>15</v>
      </c>
      <c r="C4816" s="9" t="str">
        <f t="shared" si="118"/>
        <v>230135</v>
      </c>
      <c r="D4816" s="9" t="str">
        <f>"230910503"</f>
        <v>230910503</v>
      </c>
      <c r="E4816" s="10">
        <v>56.63</v>
      </c>
      <c r="F4816" s="10"/>
      <c r="G4816" s="10">
        <v>69</v>
      </c>
      <c r="H4816" s="10"/>
      <c r="I4816" s="10">
        <v>64.05</v>
      </c>
    </row>
    <row r="4817" spans="1:9" s="1" customFormat="1" ht="21.75" customHeight="1">
      <c r="A4817" s="8" t="s">
        <v>29</v>
      </c>
      <c r="B4817" s="8" t="s">
        <v>15</v>
      </c>
      <c r="C4817" s="9" t="str">
        <f t="shared" si="118"/>
        <v>230135</v>
      </c>
      <c r="D4817" s="9" t="str">
        <f>"230910415"</f>
        <v>230910415</v>
      </c>
      <c r="E4817" s="10">
        <v>49.03</v>
      </c>
      <c r="F4817" s="10"/>
      <c r="G4817" s="10">
        <v>73</v>
      </c>
      <c r="H4817" s="10"/>
      <c r="I4817" s="10">
        <v>63.41</v>
      </c>
    </row>
    <row r="4818" spans="1:9" ht="21.75" customHeight="1">
      <c r="A4818" s="8" t="s">
        <v>29</v>
      </c>
      <c r="B4818" s="8" t="s">
        <v>15</v>
      </c>
      <c r="C4818" s="9" t="str">
        <f t="shared" si="118"/>
        <v>230135</v>
      </c>
      <c r="D4818" s="9" t="str">
        <f>"230910610"</f>
        <v>230910610</v>
      </c>
      <c r="E4818" s="10">
        <v>62.85</v>
      </c>
      <c r="F4818" s="10"/>
      <c r="G4818" s="10">
        <v>63</v>
      </c>
      <c r="H4818" s="10"/>
      <c r="I4818" s="10">
        <v>62.94</v>
      </c>
    </row>
    <row r="4819" spans="1:9" ht="21.75" customHeight="1">
      <c r="A4819" s="8" t="s">
        <v>29</v>
      </c>
      <c r="B4819" s="8" t="s">
        <v>15</v>
      </c>
      <c r="C4819" s="9" t="str">
        <f t="shared" si="118"/>
        <v>230135</v>
      </c>
      <c r="D4819" s="9" t="str">
        <f>"230910505"</f>
        <v>230910505</v>
      </c>
      <c r="E4819" s="10">
        <v>63.18</v>
      </c>
      <c r="F4819" s="10"/>
      <c r="G4819" s="10">
        <v>62</v>
      </c>
      <c r="H4819" s="10"/>
      <c r="I4819" s="10">
        <v>62.47</v>
      </c>
    </row>
    <row r="4820" spans="1:9" ht="21.75" customHeight="1">
      <c r="A4820" s="8" t="s">
        <v>29</v>
      </c>
      <c r="B4820" s="8" t="s">
        <v>15</v>
      </c>
      <c r="C4820" s="9" t="str">
        <f t="shared" si="118"/>
        <v>230135</v>
      </c>
      <c r="D4820" s="9" t="str">
        <f>"230910622"</f>
        <v>230910622</v>
      </c>
      <c r="E4820" s="10">
        <v>51.68</v>
      </c>
      <c r="F4820" s="10"/>
      <c r="G4820" s="10">
        <v>64</v>
      </c>
      <c r="H4820" s="10"/>
      <c r="I4820" s="10">
        <v>59.07</v>
      </c>
    </row>
    <row r="4821" spans="1:9" ht="21.75" customHeight="1">
      <c r="A4821" s="8" t="s">
        <v>29</v>
      </c>
      <c r="B4821" s="8" t="s">
        <v>15</v>
      </c>
      <c r="C4821" s="9" t="str">
        <f t="shared" si="118"/>
        <v>230135</v>
      </c>
      <c r="D4821" s="9" t="str">
        <f>"230910420"</f>
        <v>230910420</v>
      </c>
      <c r="E4821" s="10">
        <v>58.47</v>
      </c>
      <c r="F4821" s="10"/>
      <c r="G4821" s="10">
        <v>55</v>
      </c>
      <c r="H4821" s="10"/>
      <c r="I4821" s="10">
        <v>56.39</v>
      </c>
    </row>
    <row r="4822" spans="1:9" s="1" customFormat="1" ht="21.75" customHeight="1">
      <c r="A4822" s="8" t="s">
        <v>29</v>
      </c>
      <c r="B4822" s="8" t="s">
        <v>15</v>
      </c>
      <c r="C4822" s="9" t="str">
        <f t="shared" si="118"/>
        <v>230135</v>
      </c>
      <c r="D4822" s="9" t="str">
        <f>"230910401"</f>
        <v>230910401</v>
      </c>
      <c r="E4822" s="10">
        <v>0</v>
      </c>
      <c r="F4822" s="10"/>
      <c r="G4822" s="10">
        <v>0</v>
      </c>
      <c r="H4822" s="10"/>
      <c r="I4822" s="10">
        <v>0</v>
      </c>
    </row>
    <row r="4823" spans="1:9" s="1" customFormat="1" ht="21.75" customHeight="1">
      <c r="A4823" s="8" t="s">
        <v>29</v>
      </c>
      <c r="B4823" s="8" t="s">
        <v>15</v>
      </c>
      <c r="C4823" s="9" t="str">
        <f t="shared" si="118"/>
        <v>230135</v>
      </c>
      <c r="D4823" s="9" t="str">
        <f>"230910402"</f>
        <v>230910402</v>
      </c>
      <c r="E4823" s="10">
        <v>0</v>
      </c>
      <c r="F4823" s="10"/>
      <c r="G4823" s="10">
        <v>0</v>
      </c>
      <c r="H4823" s="10"/>
      <c r="I4823" s="10">
        <v>0</v>
      </c>
    </row>
    <row r="4824" spans="1:9" s="1" customFormat="1" ht="21.75" customHeight="1">
      <c r="A4824" s="8" t="s">
        <v>29</v>
      </c>
      <c r="B4824" s="8" t="s">
        <v>15</v>
      </c>
      <c r="C4824" s="9" t="str">
        <f t="shared" si="118"/>
        <v>230135</v>
      </c>
      <c r="D4824" s="9" t="str">
        <f>"230910403"</f>
        <v>230910403</v>
      </c>
      <c r="E4824" s="10">
        <v>0</v>
      </c>
      <c r="F4824" s="10"/>
      <c r="G4824" s="10">
        <v>0</v>
      </c>
      <c r="H4824" s="10"/>
      <c r="I4824" s="10">
        <v>0</v>
      </c>
    </row>
    <row r="4825" spans="1:9" ht="21.75" customHeight="1">
      <c r="A4825" s="8" t="s">
        <v>29</v>
      </c>
      <c r="B4825" s="8" t="s">
        <v>15</v>
      </c>
      <c r="C4825" s="9" t="str">
        <f t="shared" si="118"/>
        <v>230135</v>
      </c>
      <c r="D4825" s="9" t="str">
        <f>"230910407"</f>
        <v>230910407</v>
      </c>
      <c r="E4825" s="10">
        <v>0</v>
      </c>
      <c r="F4825" s="10"/>
      <c r="G4825" s="10">
        <v>0</v>
      </c>
      <c r="H4825" s="10"/>
      <c r="I4825" s="10">
        <v>0</v>
      </c>
    </row>
    <row r="4826" spans="1:9" ht="21.75" customHeight="1">
      <c r="A4826" s="8" t="s">
        <v>29</v>
      </c>
      <c r="B4826" s="8" t="s">
        <v>15</v>
      </c>
      <c r="C4826" s="9" t="str">
        <f t="shared" si="118"/>
        <v>230135</v>
      </c>
      <c r="D4826" s="9" t="str">
        <f>"230910409"</f>
        <v>230910409</v>
      </c>
      <c r="E4826" s="10">
        <v>0</v>
      </c>
      <c r="F4826" s="10"/>
      <c r="G4826" s="10">
        <v>0</v>
      </c>
      <c r="H4826" s="10"/>
      <c r="I4826" s="10">
        <v>0</v>
      </c>
    </row>
    <row r="4827" spans="1:9" s="1" customFormat="1" ht="21.75" customHeight="1">
      <c r="A4827" s="8" t="s">
        <v>29</v>
      </c>
      <c r="B4827" s="8" t="s">
        <v>15</v>
      </c>
      <c r="C4827" s="9" t="str">
        <f t="shared" si="118"/>
        <v>230135</v>
      </c>
      <c r="D4827" s="9" t="str">
        <f>"230910414"</f>
        <v>230910414</v>
      </c>
      <c r="E4827" s="10">
        <v>0</v>
      </c>
      <c r="F4827" s="10"/>
      <c r="G4827" s="10">
        <v>0</v>
      </c>
      <c r="H4827" s="10"/>
      <c r="I4827" s="10">
        <v>0</v>
      </c>
    </row>
    <row r="4828" spans="1:9" s="1" customFormat="1" ht="21.75" customHeight="1">
      <c r="A4828" s="8" t="s">
        <v>29</v>
      </c>
      <c r="B4828" s="8" t="s">
        <v>15</v>
      </c>
      <c r="C4828" s="9" t="str">
        <f t="shared" si="118"/>
        <v>230135</v>
      </c>
      <c r="D4828" s="9" t="str">
        <f>"230910416"</f>
        <v>230910416</v>
      </c>
      <c r="E4828" s="10">
        <v>0</v>
      </c>
      <c r="F4828" s="10"/>
      <c r="G4828" s="10">
        <v>0</v>
      </c>
      <c r="H4828" s="10"/>
      <c r="I4828" s="10">
        <v>0</v>
      </c>
    </row>
    <row r="4829" spans="1:9" s="1" customFormat="1" ht="21.75" customHeight="1">
      <c r="A4829" s="8" t="s">
        <v>29</v>
      </c>
      <c r="B4829" s="8" t="s">
        <v>15</v>
      </c>
      <c r="C4829" s="9" t="str">
        <f t="shared" si="118"/>
        <v>230135</v>
      </c>
      <c r="D4829" s="9" t="str">
        <f>"230910417"</f>
        <v>230910417</v>
      </c>
      <c r="E4829" s="10">
        <v>0</v>
      </c>
      <c r="F4829" s="10"/>
      <c r="G4829" s="10">
        <v>0</v>
      </c>
      <c r="H4829" s="10"/>
      <c r="I4829" s="10">
        <v>0</v>
      </c>
    </row>
    <row r="4830" spans="1:9" ht="21.75" customHeight="1">
      <c r="A4830" s="8" t="s">
        <v>29</v>
      </c>
      <c r="B4830" s="8" t="s">
        <v>15</v>
      </c>
      <c r="C4830" s="9" t="str">
        <f t="shared" ref="C4830:C4854" si="119">"230135"</f>
        <v>230135</v>
      </c>
      <c r="D4830" s="9" t="str">
        <f>"230910418"</f>
        <v>230910418</v>
      </c>
      <c r="E4830" s="10">
        <v>0</v>
      </c>
      <c r="F4830" s="10"/>
      <c r="G4830" s="10">
        <v>0</v>
      </c>
      <c r="H4830" s="10"/>
      <c r="I4830" s="10">
        <v>0</v>
      </c>
    </row>
    <row r="4831" spans="1:9" ht="21.75" customHeight="1">
      <c r="A4831" s="8" t="s">
        <v>29</v>
      </c>
      <c r="B4831" s="8" t="s">
        <v>15</v>
      </c>
      <c r="C4831" s="9" t="str">
        <f t="shared" si="119"/>
        <v>230135</v>
      </c>
      <c r="D4831" s="9" t="str">
        <f>"230910421"</f>
        <v>230910421</v>
      </c>
      <c r="E4831" s="10">
        <v>0</v>
      </c>
      <c r="F4831" s="10"/>
      <c r="G4831" s="10">
        <v>0</v>
      </c>
      <c r="H4831" s="10"/>
      <c r="I4831" s="10">
        <v>0</v>
      </c>
    </row>
    <row r="4832" spans="1:9" ht="21.75" customHeight="1">
      <c r="A4832" s="8" t="s">
        <v>29</v>
      </c>
      <c r="B4832" s="8" t="s">
        <v>15</v>
      </c>
      <c r="C4832" s="9" t="str">
        <f t="shared" si="119"/>
        <v>230135</v>
      </c>
      <c r="D4832" s="9" t="str">
        <f>"230910426"</f>
        <v>230910426</v>
      </c>
      <c r="E4832" s="10">
        <v>0</v>
      </c>
      <c r="F4832" s="10"/>
      <c r="G4832" s="10">
        <v>0</v>
      </c>
      <c r="H4832" s="10"/>
      <c r="I4832" s="10">
        <v>0</v>
      </c>
    </row>
    <row r="4833" spans="1:9" ht="21.75" customHeight="1">
      <c r="A4833" s="8" t="s">
        <v>29</v>
      </c>
      <c r="B4833" s="8" t="s">
        <v>15</v>
      </c>
      <c r="C4833" s="9" t="str">
        <f t="shared" si="119"/>
        <v>230135</v>
      </c>
      <c r="D4833" s="9" t="str">
        <f>"230910429"</f>
        <v>230910429</v>
      </c>
      <c r="E4833" s="10">
        <v>0</v>
      </c>
      <c r="F4833" s="10"/>
      <c r="G4833" s="10">
        <v>0</v>
      </c>
      <c r="H4833" s="10"/>
      <c r="I4833" s="10">
        <v>0</v>
      </c>
    </row>
    <row r="4834" spans="1:9" s="1" customFormat="1" ht="21.75" customHeight="1">
      <c r="A4834" s="8" t="s">
        <v>29</v>
      </c>
      <c r="B4834" s="8" t="s">
        <v>15</v>
      </c>
      <c r="C4834" s="9" t="str">
        <f t="shared" si="119"/>
        <v>230135</v>
      </c>
      <c r="D4834" s="9" t="str">
        <f>"230910430"</f>
        <v>230910430</v>
      </c>
      <c r="E4834" s="10">
        <v>0</v>
      </c>
      <c r="F4834" s="10"/>
      <c r="G4834" s="10">
        <v>0</v>
      </c>
      <c r="H4834" s="10"/>
      <c r="I4834" s="10">
        <v>0</v>
      </c>
    </row>
    <row r="4835" spans="1:9" ht="21.75" customHeight="1">
      <c r="A4835" s="8" t="s">
        <v>29</v>
      </c>
      <c r="B4835" s="8" t="s">
        <v>15</v>
      </c>
      <c r="C4835" s="9" t="str">
        <f t="shared" si="119"/>
        <v>230135</v>
      </c>
      <c r="D4835" s="9" t="str">
        <f>"230910502"</f>
        <v>230910502</v>
      </c>
      <c r="E4835" s="10">
        <v>0</v>
      </c>
      <c r="F4835" s="10"/>
      <c r="G4835" s="10">
        <v>0</v>
      </c>
      <c r="H4835" s="10"/>
      <c r="I4835" s="10">
        <v>0</v>
      </c>
    </row>
    <row r="4836" spans="1:9" ht="21.75" customHeight="1">
      <c r="A4836" s="8" t="s">
        <v>29</v>
      </c>
      <c r="B4836" s="8" t="s">
        <v>15</v>
      </c>
      <c r="C4836" s="9" t="str">
        <f t="shared" si="119"/>
        <v>230135</v>
      </c>
      <c r="D4836" s="9" t="str">
        <f>"230910504"</f>
        <v>230910504</v>
      </c>
      <c r="E4836" s="10">
        <v>0</v>
      </c>
      <c r="F4836" s="10"/>
      <c r="G4836" s="10">
        <v>0</v>
      </c>
      <c r="H4836" s="10"/>
      <c r="I4836" s="10">
        <v>0</v>
      </c>
    </row>
    <row r="4837" spans="1:9" ht="21.75" customHeight="1">
      <c r="A4837" s="8" t="s">
        <v>29</v>
      </c>
      <c r="B4837" s="8" t="s">
        <v>15</v>
      </c>
      <c r="C4837" s="9" t="str">
        <f t="shared" si="119"/>
        <v>230135</v>
      </c>
      <c r="D4837" s="9" t="str">
        <f>"230910513"</f>
        <v>230910513</v>
      </c>
      <c r="E4837" s="10">
        <v>0</v>
      </c>
      <c r="F4837" s="10"/>
      <c r="G4837" s="10">
        <v>0</v>
      </c>
      <c r="H4837" s="10"/>
      <c r="I4837" s="10">
        <v>0</v>
      </c>
    </row>
    <row r="4838" spans="1:9" ht="21.75" customHeight="1">
      <c r="A4838" s="8" t="s">
        <v>29</v>
      </c>
      <c r="B4838" s="8" t="s">
        <v>15</v>
      </c>
      <c r="C4838" s="9" t="str">
        <f t="shared" si="119"/>
        <v>230135</v>
      </c>
      <c r="D4838" s="9" t="str">
        <f>"230910515"</f>
        <v>230910515</v>
      </c>
      <c r="E4838" s="10">
        <v>0</v>
      </c>
      <c r="F4838" s="10"/>
      <c r="G4838" s="10">
        <v>0</v>
      </c>
      <c r="H4838" s="10"/>
      <c r="I4838" s="10">
        <v>0</v>
      </c>
    </row>
    <row r="4839" spans="1:9" ht="21.75" customHeight="1">
      <c r="A4839" s="8" t="s">
        <v>29</v>
      </c>
      <c r="B4839" s="8" t="s">
        <v>15</v>
      </c>
      <c r="C4839" s="9" t="str">
        <f t="shared" si="119"/>
        <v>230135</v>
      </c>
      <c r="D4839" s="9" t="str">
        <f>"230910521"</f>
        <v>230910521</v>
      </c>
      <c r="E4839" s="10">
        <v>0</v>
      </c>
      <c r="F4839" s="10"/>
      <c r="G4839" s="10">
        <v>0</v>
      </c>
      <c r="H4839" s="10"/>
      <c r="I4839" s="10">
        <v>0</v>
      </c>
    </row>
    <row r="4840" spans="1:9" s="1" customFormat="1" ht="21.75" customHeight="1">
      <c r="A4840" s="8" t="s">
        <v>29</v>
      </c>
      <c r="B4840" s="8" t="s">
        <v>15</v>
      </c>
      <c r="C4840" s="9" t="str">
        <f t="shared" si="119"/>
        <v>230135</v>
      </c>
      <c r="D4840" s="9" t="str">
        <f>"230910524"</f>
        <v>230910524</v>
      </c>
      <c r="E4840" s="10">
        <v>0</v>
      </c>
      <c r="F4840" s="10"/>
      <c r="G4840" s="10">
        <v>0</v>
      </c>
      <c r="H4840" s="10"/>
      <c r="I4840" s="10">
        <v>0</v>
      </c>
    </row>
    <row r="4841" spans="1:9" ht="21.75" customHeight="1">
      <c r="A4841" s="8" t="s">
        <v>29</v>
      </c>
      <c r="B4841" s="8" t="s">
        <v>15</v>
      </c>
      <c r="C4841" s="9" t="str">
        <f t="shared" si="119"/>
        <v>230135</v>
      </c>
      <c r="D4841" s="9" t="str">
        <f>"230910526"</f>
        <v>230910526</v>
      </c>
      <c r="E4841" s="10">
        <v>0</v>
      </c>
      <c r="F4841" s="10"/>
      <c r="G4841" s="10">
        <v>0</v>
      </c>
      <c r="H4841" s="10"/>
      <c r="I4841" s="10">
        <v>0</v>
      </c>
    </row>
    <row r="4842" spans="1:9" ht="21.75" customHeight="1">
      <c r="A4842" s="8" t="s">
        <v>29</v>
      </c>
      <c r="B4842" s="8" t="s">
        <v>15</v>
      </c>
      <c r="C4842" s="9" t="str">
        <f t="shared" si="119"/>
        <v>230135</v>
      </c>
      <c r="D4842" s="9" t="str">
        <f>"230910530"</f>
        <v>230910530</v>
      </c>
      <c r="E4842" s="10">
        <v>0</v>
      </c>
      <c r="F4842" s="10"/>
      <c r="G4842" s="10">
        <v>0</v>
      </c>
      <c r="H4842" s="10"/>
      <c r="I4842" s="10">
        <v>0</v>
      </c>
    </row>
    <row r="4843" spans="1:9" ht="21.75" customHeight="1">
      <c r="A4843" s="8" t="s">
        <v>29</v>
      </c>
      <c r="B4843" s="8" t="s">
        <v>15</v>
      </c>
      <c r="C4843" s="9" t="str">
        <f t="shared" si="119"/>
        <v>230135</v>
      </c>
      <c r="D4843" s="9" t="str">
        <f>"230910603"</f>
        <v>230910603</v>
      </c>
      <c r="E4843" s="10">
        <v>0</v>
      </c>
      <c r="F4843" s="10"/>
      <c r="G4843" s="10">
        <v>0</v>
      </c>
      <c r="H4843" s="10"/>
      <c r="I4843" s="10">
        <v>0</v>
      </c>
    </row>
    <row r="4844" spans="1:9" ht="21.75" customHeight="1">
      <c r="A4844" s="8" t="s">
        <v>29</v>
      </c>
      <c r="B4844" s="8" t="s">
        <v>15</v>
      </c>
      <c r="C4844" s="9" t="str">
        <f t="shared" si="119"/>
        <v>230135</v>
      </c>
      <c r="D4844" s="9" t="str">
        <f>"230910607"</f>
        <v>230910607</v>
      </c>
      <c r="E4844" s="10">
        <v>0</v>
      </c>
      <c r="F4844" s="10"/>
      <c r="G4844" s="10">
        <v>0</v>
      </c>
      <c r="H4844" s="10"/>
      <c r="I4844" s="10">
        <v>0</v>
      </c>
    </row>
    <row r="4845" spans="1:9" ht="21.75" customHeight="1">
      <c r="A4845" s="8" t="s">
        <v>29</v>
      </c>
      <c r="B4845" s="8" t="s">
        <v>15</v>
      </c>
      <c r="C4845" s="9" t="str">
        <f t="shared" si="119"/>
        <v>230135</v>
      </c>
      <c r="D4845" s="9" t="str">
        <f>"230910609"</f>
        <v>230910609</v>
      </c>
      <c r="E4845" s="10">
        <v>0</v>
      </c>
      <c r="F4845" s="10"/>
      <c r="G4845" s="10">
        <v>0</v>
      </c>
      <c r="H4845" s="10"/>
      <c r="I4845" s="10">
        <v>0</v>
      </c>
    </row>
    <row r="4846" spans="1:9" ht="21.75" customHeight="1">
      <c r="A4846" s="8" t="s">
        <v>29</v>
      </c>
      <c r="B4846" s="8" t="s">
        <v>15</v>
      </c>
      <c r="C4846" s="9" t="str">
        <f t="shared" si="119"/>
        <v>230135</v>
      </c>
      <c r="D4846" s="9" t="str">
        <f>"230910611"</f>
        <v>230910611</v>
      </c>
      <c r="E4846" s="10">
        <v>0</v>
      </c>
      <c r="F4846" s="10"/>
      <c r="G4846" s="10">
        <v>0</v>
      </c>
      <c r="H4846" s="10"/>
      <c r="I4846" s="10">
        <v>0</v>
      </c>
    </row>
    <row r="4847" spans="1:9" ht="21.75" customHeight="1">
      <c r="A4847" s="8" t="s">
        <v>29</v>
      </c>
      <c r="B4847" s="8" t="s">
        <v>15</v>
      </c>
      <c r="C4847" s="9" t="str">
        <f t="shared" si="119"/>
        <v>230135</v>
      </c>
      <c r="D4847" s="9" t="str">
        <f>"230910613"</f>
        <v>230910613</v>
      </c>
      <c r="E4847" s="10">
        <v>0</v>
      </c>
      <c r="F4847" s="10"/>
      <c r="G4847" s="10">
        <v>0</v>
      </c>
      <c r="H4847" s="10"/>
      <c r="I4847" s="10">
        <v>0</v>
      </c>
    </row>
    <row r="4848" spans="1:9" s="1" customFormat="1" ht="21.75" customHeight="1">
      <c r="A4848" s="8" t="s">
        <v>29</v>
      </c>
      <c r="B4848" s="8" t="s">
        <v>15</v>
      </c>
      <c r="C4848" s="9" t="str">
        <f t="shared" si="119"/>
        <v>230135</v>
      </c>
      <c r="D4848" s="9" t="str">
        <f>"230910615"</f>
        <v>230910615</v>
      </c>
      <c r="E4848" s="10">
        <v>0</v>
      </c>
      <c r="F4848" s="10"/>
      <c r="G4848" s="10">
        <v>0</v>
      </c>
      <c r="H4848" s="10"/>
      <c r="I4848" s="10">
        <v>0</v>
      </c>
    </row>
    <row r="4849" spans="1:9" ht="21.75" customHeight="1">
      <c r="A4849" s="8" t="s">
        <v>29</v>
      </c>
      <c r="B4849" s="8" t="s">
        <v>15</v>
      </c>
      <c r="C4849" s="9" t="str">
        <f t="shared" si="119"/>
        <v>230135</v>
      </c>
      <c r="D4849" s="9" t="str">
        <f>"230910617"</f>
        <v>230910617</v>
      </c>
      <c r="E4849" s="10">
        <v>0</v>
      </c>
      <c r="F4849" s="10"/>
      <c r="G4849" s="10">
        <v>0</v>
      </c>
      <c r="H4849" s="10"/>
      <c r="I4849" s="10">
        <v>0</v>
      </c>
    </row>
    <row r="4850" spans="1:9" ht="21.75" customHeight="1">
      <c r="A4850" s="8" t="s">
        <v>29</v>
      </c>
      <c r="B4850" s="8" t="s">
        <v>15</v>
      </c>
      <c r="C4850" s="9" t="str">
        <f t="shared" si="119"/>
        <v>230135</v>
      </c>
      <c r="D4850" s="9" t="str">
        <f>"230910618"</f>
        <v>230910618</v>
      </c>
      <c r="E4850" s="10">
        <v>0</v>
      </c>
      <c r="F4850" s="10"/>
      <c r="G4850" s="10">
        <v>0</v>
      </c>
      <c r="H4850" s="10"/>
      <c r="I4850" s="10">
        <v>0</v>
      </c>
    </row>
    <row r="4851" spans="1:9" ht="21.75" customHeight="1">
      <c r="A4851" s="8" t="s">
        <v>29</v>
      </c>
      <c r="B4851" s="8" t="s">
        <v>15</v>
      </c>
      <c r="C4851" s="9" t="str">
        <f t="shared" si="119"/>
        <v>230135</v>
      </c>
      <c r="D4851" s="9" t="str">
        <f>"230910619"</f>
        <v>230910619</v>
      </c>
      <c r="E4851" s="10">
        <v>0</v>
      </c>
      <c r="F4851" s="10"/>
      <c r="G4851" s="10">
        <v>0</v>
      </c>
      <c r="H4851" s="10"/>
      <c r="I4851" s="10">
        <v>0</v>
      </c>
    </row>
    <row r="4852" spans="1:9" s="1" customFormat="1" ht="21.75" customHeight="1">
      <c r="A4852" s="8" t="s">
        <v>29</v>
      </c>
      <c r="B4852" s="8" t="s">
        <v>15</v>
      </c>
      <c r="C4852" s="9" t="str">
        <f t="shared" si="119"/>
        <v>230135</v>
      </c>
      <c r="D4852" s="9" t="str">
        <f>"230910623"</f>
        <v>230910623</v>
      </c>
      <c r="E4852" s="10">
        <v>0</v>
      </c>
      <c r="F4852" s="10"/>
      <c r="G4852" s="10">
        <v>0</v>
      </c>
      <c r="H4852" s="10"/>
      <c r="I4852" s="10">
        <v>0</v>
      </c>
    </row>
    <row r="4853" spans="1:9" ht="21.75" customHeight="1">
      <c r="A4853" s="8" t="s">
        <v>29</v>
      </c>
      <c r="B4853" s="8" t="s">
        <v>15</v>
      </c>
      <c r="C4853" s="9" t="str">
        <f t="shared" si="119"/>
        <v>230135</v>
      </c>
      <c r="D4853" s="9" t="str">
        <f>"230910626"</f>
        <v>230910626</v>
      </c>
      <c r="E4853" s="10">
        <v>0</v>
      </c>
      <c r="F4853" s="10"/>
      <c r="G4853" s="10">
        <v>0</v>
      </c>
      <c r="H4853" s="10"/>
      <c r="I4853" s="10">
        <v>0</v>
      </c>
    </row>
    <row r="4854" spans="1:9" s="1" customFormat="1" ht="21.75" customHeight="1">
      <c r="A4854" s="8" t="s">
        <v>29</v>
      </c>
      <c r="B4854" s="8" t="s">
        <v>15</v>
      </c>
      <c r="C4854" s="9" t="str">
        <f t="shared" si="119"/>
        <v>230135</v>
      </c>
      <c r="D4854" s="9" t="str">
        <f>"230910628"</f>
        <v>230910628</v>
      </c>
      <c r="E4854" s="10">
        <v>0</v>
      </c>
      <c r="F4854" s="10"/>
      <c r="G4854" s="10">
        <v>0</v>
      </c>
      <c r="H4854" s="10"/>
      <c r="I4854" s="10">
        <v>0</v>
      </c>
    </row>
    <row r="4855" spans="1:9" s="2" customFormat="1" ht="21.75" customHeight="1">
      <c r="A4855" s="8" t="s">
        <v>29</v>
      </c>
      <c r="B4855" s="8" t="s">
        <v>16</v>
      </c>
      <c r="C4855" s="9" t="str">
        <f t="shared" ref="C4855:C4886" si="120">"230136"</f>
        <v>230136</v>
      </c>
      <c r="D4855" s="9" t="str">
        <f>"230910809"</f>
        <v>230910809</v>
      </c>
      <c r="E4855" s="10">
        <v>86.43</v>
      </c>
      <c r="F4855" s="10"/>
      <c r="G4855" s="10">
        <v>76</v>
      </c>
      <c r="H4855" s="10"/>
      <c r="I4855" s="10">
        <v>80.17</v>
      </c>
    </row>
    <row r="4856" spans="1:9" s="3" customFormat="1" ht="21.75" customHeight="1">
      <c r="A4856" s="8" t="s">
        <v>29</v>
      </c>
      <c r="B4856" s="8" t="s">
        <v>16</v>
      </c>
      <c r="C4856" s="9" t="str">
        <f t="shared" si="120"/>
        <v>230136</v>
      </c>
      <c r="D4856" s="9" t="str">
        <f>"230910724"</f>
        <v>230910724</v>
      </c>
      <c r="E4856" s="10">
        <v>80.569999999999993</v>
      </c>
      <c r="F4856" s="10"/>
      <c r="G4856" s="10">
        <v>76</v>
      </c>
      <c r="H4856" s="10"/>
      <c r="I4856" s="10">
        <v>77.83</v>
      </c>
    </row>
    <row r="4857" spans="1:9" s="2" customFormat="1" ht="21.75" customHeight="1">
      <c r="A4857" s="8" t="s">
        <v>29</v>
      </c>
      <c r="B4857" s="8" t="s">
        <v>16</v>
      </c>
      <c r="C4857" s="9" t="str">
        <f t="shared" si="120"/>
        <v>230136</v>
      </c>
      <c r="D4857" s="9" t="str">
        <f>"230910824"</f>
        <v>230910824</v>
      </c>
      <c r="E4857" s="10">
        <v>72.97</v>
      </c>
      <c r="F4857" s="10"/>
      <c r="G4857" s="10">
        <v>79.5</v>
      </c>
      <c r="H4857" s="10"/>
      <c r="I4857" s="10">
        <v>76.89</v>
      </c>
    </row>
    <row r="4858" spans="1:9" s="3" customFormat="1" ht="21.75" customHeight="1">
      <c r="A4858" s="8" t="s">
        <v>29</v>
      </c>
      <c r="B4858" s="8" t="s">
        <v>16</v>
      </c>
      <c r="C4858" s="9" t="str">
        <f t="shared" si="120"/>
        <v>230136</v>
      </c>
      <c r="D4858" s="9" t="str">
        <f>"230910726"</f>
        <v>230910726</v>
      </c>
      <c r="E4858" s="10">
        <v>79.41</v>
      </c>
      <c r="F4858" s="10"/>
      <c r="G4858" s="10">
        <v>75</v>
      </c>
      <c r="H4858" s="10"/>
      <c r="I4858" s="10">
        <v>76.760000000000005</v>
      </c>
    </row>
    <row r="4859" spans="1:9" s="2" customFormat="1" ht="21.75" customHeight="1">
      <c r="A4859" s="8" t="s">
        <v>29</v>
      </c>
      <c r="B4859" s="8" t="s">
        <v>16</v>
      </c>
      <c r="C4859" s="9" t="str">
        <f t="shared" si="120"/>
        <v>230136</v>
      </c>
      <c r="D4859" s="9" t="str">
        <f>"230910703"</f>
        <v>230910703</v>
      </c>
      <c r="E4859" s="10">
        <v>81.03</v>
      </c>
      <c r="F4859" s="10"/>
      <c r="G4859" s="10">
        <v>73</v>
      </c>
      <c r="H4859" s="10"/>
      <c r="I4859" s="10">
        <v>76.209999999999994</v>
      </c>
    </row>
    <row r="4860" spans="1:9" s="2" customFormat="1" ht="21.75" customHeight="1">
      <c r="A4860" s="8" t="s">
        <v>29</v>
      </c>
      <c r="B4860" s="8" t="s">
        <v>16</v>
      </c>
      <c r="C4860" s="9" t="str">
        <f t="shared" si="120"/>
        <v>230136</v>
      </c>
      <c r="D4860" s="9" t="str">
        <f>"230910823"</f>
        <v>230910823</v>
      </c>
      <c r="E4860" s="10">
        <v>76.89</v>
      </c>
      <c r="F4860" s="10"/>
      <c r="G4860" s="10">
        <v>75.5</v>
      </c>
      <c r="H4860" s="10"/>
      <c r="I4860" s="10">
        <v>76.06</v>
      </c>
    </row>
    <row r="4861" spans="1:9" s="2" customFormat="1" ht="21.75" customHeight="1">
      <c r="A4861" s="8" t="s">
        <v>29</v>
      </c>
      <c r="B4861" s="8" t="s">
        <v>16</v>
      </c>
      <c r="C4861" s="9" t="str">
        <f t="shared" si="120"/>
        <v>230136</v>
      </c>
      <c r="D4861" s="9" t="str">
        <f>"230910815"</f>
        <v>230910815</v>
      </c>
      <c r="E4861" s="10">
        <v>77.34</v>
      </c>
      <c r="F4861" s="10"/>
      <c r="G4861" s="10">
        <v>74.5</v>
      </c>
      <c r="H4861" s="10"/>
      <c r="I4861" s="10">
        <v>75.64</v>
      </c>
    </row>
    <row r="4862" spans="1:9" s="2" customFormat="1" ht="21.75" customHeight="1">
      <c r="A4862" s="8" t="s">
        <v>29</v>
      </c>
      <c r="B4862" s="8" t="s">
        <v>16</v>
      </c>
      <c r="C4862" s="9" t="str">
        <f t="shared" si="120"/>
        <v>230136</v>
      </c>
      <c r="D4862" s="9" t="str">
        <f>"230910715"</f>
        <v>230910715</v>
      </c>
      <c r="E4862" s="10">
        <v>74.8</v>
      </c>
      <c r="F4862" s="10"/>
      <c r="G4862" s="10">
        <v>76</v>
      </c>
      <c r="H4862" s="10"/>
      <c r="I4862" s="10">
        <v>75.52</v>
      </c>
    </row>
    <row r="4863" spans="1:9" s="2" customFormat="1" ht="21.75" customHeight="1">
      <c r="A4863" s="8" t="s">
        <v>29</v>
      </c>
      <c r="B4863" s="8" t="s">
        <v>16</v>
      </c>
      <c r="C4863" s="9" t="str">
        <f t="shared" si="120"/>
        <v>230136</v>
      </c>
      <c r="D4863" s="9" t="str">
        <f>"230910701"</f>
        <v>230910701</v>
      </c>
      <c r="E4863" s="10">
        <v>77.92</v>
      </c>
      <c r="F4863" s="10"/>
      <c r="G4863" s="10">
        <v>73.5</v>
      </c>
      <c r="H4863" s="10"/>
      <c r="I4863" s="10">
        <v>75.27</v>
      </c>
    </row>
    <row r="4864" spans="1:9" s="3" customFormat="1" ht="21.75" customHeight="1">
      <c r="A4864" s="8" t="s">
        <v>29</v>
      </c>
      <c r="B4864" s="8" t="s">
        <v>16</v>
      </c>
      <c r="C4864" s="9" t="str">
        <f t="shared" si="120"/>
        <v>230136</v>
      </c>
      <c r="D4864" s="9" t="str">
        <f>"230910707"</f>
        <v>230910707</v>
      </c>
      <c r="E4864" s="10">
        <v>69.040000000000006</v>
      </c>
      <c r="F4864" s="10"/>
      <c r="G4864" s="10">
        <v>79</v>
      </c>
      <c r="H4864" s="10"/>
      <c r="I4864" s="10">
        <v>75.02</v>
      </c>
    </row>
    <row r="4865" spans="1:9" s="3" customFormat="1" ht="21.75" customHeight="1">
      <c r="A4865" s="8" t="s">
        <v>29</v>
      </c>
      <c r="B4865" s="8" t="s">
        <v>16</v>
      </c>
      <c r="C4865" s="9" t="str">
        <f t="shared" si="120"/>
        <v>230136</v>
      </c>
      <c r="D4865" s="9" t="str">
        <f>"230910708"</f>
        <v>230910708</v>
      </c>
      <c r="E4865" s="10">
        <v>76.39</v>
      </c>
      <c r="F4865" s="10"/>
      <c r="G4865" s="10">
        <v>74</v>
      </c>
      <c r="H4865" s="10"/>
      <c r="I4865" s="10">
        <v>74.959999999999994</v>
      </c>
    </row>
    <row r="4866" spans="1:9" s="2" customFormat="1" ht="21.75" customHeight="1">
      <c r="A4866" s="8" t="s">
        <v>29</v>
      </c>
      <c r="B4866" s="8" t="s">
        <v>16</v>
      </c>
      <c r="C4866" s="9" t="str">
        <f t="shared" si="120"/>
        <v>230136</v>
      </c>
      <c r="D4866" s="9" t="str">
        <f>"230910810"</f>
        <v>230910810</v>
      </c>
      <c r="E4866" s="10">
        <v>77.91</v>
      </c>
      <c r="F4866" s="10"/>
      <c r="G4866" s="10">
        <v>72.5</v>
      </c>
      <c r="H4866" s="10"/>
      <c r="I4866" s="10">
        <v>74.66</v>
      </c>
    </row>
    <row r="4867" spans="1:9" s="2" customFormat="1" ht="21.75" customHeight="1">
      <c r="A4867" s="8" t="s">
        <v>29</v>
      </c>
      <c r="B4867" s="8" t="s">
        <v>16</v>
      </c>
      <c r="C4867" s="9" t="str">
        <f t="shared" si="120"/>
        <v>230136</v>
      </c>
      <c r="D4867" s="9" t="str">
        <f>"230910814"</f>
        <v>230910814</v>
      </c>
      <c r="E4867" s="10">
        <v>77.12</v>
      </c>
      <c r="F4867" s="10"/>
      <c r="G4867" s="10">
        <v>72.5</v>
      </c>
      <c r="H4867" s="10"/>
      <c r="I4867" s="10">
        <v>74.349999999999994</v>
      </c>
    </row>
    <row r="4868" spans="1:9" s="3" customFormat="1" ht="21.75" customHeight="1">
      <c r="A4868" s="8" t="s">
        <v>29</v>
      </c>
      <c r="B4868" s="8" t="s">
        <v>16</v>
      </c>
      <c r="C4868" s="9" t="str">
        <f t="shared" si="120"/>
        <v>230136</v>
      </c>
      <c r="D4868" s="9" t="str">
        <f>"230910819"</f>
        <v>230910819</v>
      </c>
      <c r="E4868" s="10">
        <v>75.28</v>
      </c>
      <c r="F4868" s="10"/>
      <c r="G4868" s="10">
        <v>73</v>
      </c>
      <c r="H4868" s="10"/>
      <c r="I4868" s="10">
        <v>73.91</v>
      </c>
    </row>
    <row r="4869" spans="1:9" s="3" customFormat="1" ht="21.75" customHeight="1">
      <c r="A4869" s="8" t="s">
        <v>29</v>
      </c>
      <c r="B4869" s="8" t="s">
        <v>16</v>
      </c>
      <c r="C4869" s="9" t="str">
        <f t="shared" si="120"/>
        <v>230136</v>
      </c>
      <c r="D4869" s="9" t="str">
        <f>"230910723"</f>
        <v>230910723</v>
      </c>
      <c r="E4869" s="10">
        <v>74.34</v>
      </c>
      <c r="F4869" s="10"/>
      <c r="G4869" s="10">
        <v>73</v>
      </c>
      <c r="H4869" s="10"/>
      <c r="I4869" s="10">
        <v>73.540000000000006</v>
      </c>
    </row>
    <row r="4870" spans="1:9" s="2" customFormat="1" ht="21.75" customHeight="1">
      <c r="A4870" s="8" t="s">
        <v>29</v>
      </c>
      <c r="B4870" s="8" t="s">
        <v>16</v>
      </c>
      <c r="C4870" s="9" t="str">
        <f t="shared" si="120"/>
        <v>230136</v>
      </c>
      <c r="D4870" s="9" t="str">
        <f>"230910714"</f>
        <v>230910714</v>
      </c>
      <c r="E4870" s="10">
        <v>69.069999999999993</v>
      </c>
      <c r="F4870" s="10"/>
      <c r="G4870" s="10">
        <v>75.5</v>
      </c>
      <c r="H4870" s="10"/>
      <c r="I4870" s="10">
        <v>72.930000000000007</v>
      </c>
    </row>
    <row r="4871" spans="1:9" s="2" customFormat="1" ht="21.75" customHeight="1">
      <c r="A4871" s="8" t="s">
        <v>29</v>
      </c>
      <c r="B4871" s="8" t="s">
        <v>16</v>
      </c>
      <c r="C4871" s="9" t="str">
        <f t="shared" si="120"/>
        <v>230136</v>
      </c>
      <c r="D4871" s="9" t="str">
        <f>"230910702"</f>
        <v>230910702</v>
      </c>
      <c r="E4871" s="10">
        <v>69.05</v>
      </c>
      <c r="F4871" s="10"/>
      <c r="G4871" s="10">
        <v>75.5</v>
      </c>
      <c r="H4871" s="10"/>
      <c r="I4871" s="10">
        <v>72.92</v>
      </c>
    </row>
    <row r="4872" spans="1:9" s="3" customFormat="1" ht="21.75" customHeight="1">
      <c r="A4872" s="8" t="s">
        <v>29</v>
      </c>
      <c r="B4872" s="8" t="s">
        <v>16</v>
      </c>
      <c r="C4872" s="9" t="str">
        <f t="shared" si="120"/>
        <v>230136</v>
      </c>
      <c r="D4872" s="9" t="str">
        <f>"230910718"</f>
        <v>230910718</v>
      </c>
      <c r="E4872" s="10">
        <v>78.040000000000006</v>
      </c>
      <c r="F4872" s="10"/>
      <c r="G4872" s="10">
        <v>69.5</v>
      </c>
      <c r="H4872" s="10"/>
      <c r="I4872" s="10">
        <v>72.92</v>
      </c>
    </row>
    <row r="4873" spans="1:9" s="2" customFormat="1" ht="21.75" customHeight="1">
      <c r="A4873" s="8" t="s">
        <v>29</v>
      </c>
      <c r="B4873" s="8" t="s">
        <v>16</v>
      </c>
      <c r="C4873" s="9" t="str">
        <f t="shared" si="120"/>
        <v>230136</v>
      </c>
      <c r="D4873" s="9" t="str">
        <f>"230910827"</f>
        <v>230910827</v>
      </c>
      <c r="E4873" s="10">
        <v>70.099999999999994</v>
      </c>
      <c r="F4873" s="10"/>
      <c r="G4873" s="10">
        <v>73</v>
      </c>
      <c r="H4873" s="10"/>
      <c r="I4873" s="10">
        <v>71.84</v>
      </c>
    </row>
    <row r="4874" spans="1:9" s="3" customFormat="1" ht="21.75" customHeight="1">
      <c r="A4874" s="8" t="s">
        <v>29</v>
      </c>
      <c r="B4874" s="8" t="s">
        <v>16</v>
      </c>
      <c r="C4874" s="9" t="str">
        <f t="shared" si="120"/>
        <v>230136</v>
      </c>
      <c r="D4874" s="9" t="str">
        <f>"230910829"</f>
        <v>230910829</v>
      </c>
      <c r="E4874" s="10">
        <v>74.92</v>
      </c>
      <c r="F4874" s="10"/>
      <c r="G4874" s="10">
        <v>69.5</v>
      </c>
      <c r="H4874" s="10"/>
      <c r="I4874" s="10">
        <v>71.67</v>
      </c>
    </row>
    <row r="4875" spans="1:9" s="3" customFormat="1" ht="21.75" customHeight="1">
      <c r="A4875" s="8" t="s">
        <v>29</v>
      </c>
      <c r="B4875" s="8" t="s">
        <v>16</v>
      </c>
      <c r="C4875" s="9" t="str">
        <f t="shared" si="120"/>
        <v>230136</v>
      </c>
      <c r="D4875" s="9" t="str">
        <f>"230910825"</f>
        <v>230910825</v>
      </c>
      <c r="E4875" s="10">
        <v>70.89</v>
      </c>
      <c r="F4875" s="10"/>
      <c r="G4875" s="10">
        <v>72</v>
      </c>
      <c r="H4875" s="10"/>
      <c r="I4875" s="10">
        <v>71.56</v>
      </c>
    </row>
    <row r="4876" spans="1:9" s="2" customFormat="1" ht="21.75" customHeight="1">
      <c r="A4876" s="8" t="s">
        <v>29</v>
      </c>
      <c r="B4876" s="8" t="s">
        <v>16</v>
      </c>
      <c r="C4876" s="9" t="str">
        <f t="shared" si="120"/>
        <v>230136</v>
      </c>
      <c r="D4876" s="9" t="str">
        <f>"230910808"</f>
        <v>230910808</v>
      </c>
      <c r="E4876" s="10">
        <v>75.27</v>
      </c>
      <c r="F4876" s="10"/>
      <c r="G4876" s="10">
        <v>69</v>
      </c>
      <c r="H4876" s="10"/>
      <c r="I4876" s="10">
        <v>71.510000000000005</v>
      </c>
    </row>
    <row r="4877" spans="1:9" s="3" customFormat="1" ht="21.75" customHeight="1">
      <c r="A4877" s="8" t="s">
        <v>29</v>
      </c>
      <c r="B4877" s="8" t="s">
        <v>16</v>
      </c>
      <c r="C4877" s="9" t="str">
        <f t="shared" si="120"/>
        <v>230136</v>
      </c>
      <c r="D4877" s="9" t="str">
        <f>"230910711"</f>
        <v>230910711</v>
      </c>
      <c r="E4877" s="10">
        <v>64.7</v>
      </c>
      <c r="F4877" s="10"/>
      <c r="G4877" s="10">
        <v>76</v>
      </c>
      <c r="H4877" s="10"/>
      <c r="I4877" s="10">
        <v>71.48</v>
      </c>
    </row>
    <row r="4878" spans="1:9" s="3" customFormat="1" ht="21.75" customHeight="1">
      <c r="A4878" s="8" t="s">
        <v>29</v>
      </c>
      <c r="B4878" s="8" t="s">
        <v>16</v>
      </c>
      <c r="C4878" s="9" t="str">
        <f t="shared" si="120"/>
        <v>230136</v>
      </c>
      <c r="D4878" s="9" t="str">
        <f>"230910822"</f>
        <v>230910822</v>
      </c>
      <c r="E4878" s="10">
        <v>75.72</v>
      </c>
      <c r="F4878" s="10"/>
      <c r="G4878" s="10">
        <v>68.5</v>
      </c>
      <c r="H4878" s="10"/>
      <c r="I4878" s="10">
        <v>71.39</v>
      </c>
    </row>
    <row r="4879" spans="1:9" s="3" customFormat="1" ht="21.75" customHeight="1">
      <c r="A4879" s="8" t="s">
        <v>29</v>
      </c>
      <c r="B4879" s="8" t="s">
        <v>16</v>
      </c>
      <c r="C4879" s="9" t="str">
        <f t="shared" si="120"/>
        <v>230136</v>
      </c>
      <c r="D4879" s="9" t="str">
        <f>"230910811"</f>
        <v>230910811</v>
      </c>
      <c r="E4879" s="10">
        <v>62.6</v>
      </c>
      <c r="F4879" s="10"/>
      <c r="G4879" s="10">
        <v>77</v>
      </c>
      <c r="H4879" s="10"/>
      <c r="I4879" s="10">
        <v>71.239999999999995</v>
      </c>
    </row>
    <row r="4880" spans="1:9" s="3" customFormat="1" ht="21.75" customHeight="1">
      <c r="A4880" s="8" t="s">
        <v>29</v>
      </c>
      <c r="B4880" s="8" t="s">
        <v>16</v>
      </c>
      <c r="C4880" s="9" t="str">
        <f t="shared" si="120"/>
        <v>230136</v>
      </c>
      <c r="D4880" s="9" t="str">
        <f>"230910807"</f>
        <v>230910807</v>
      </c>
      <c r="E4880" s="10">
        <v>73.63</v>
      </c>
      <c r="F4880" s="10"/>
      <c r="G4880" s="10">
        <v>69.5</v>
      </c>
      <c r="H4880" s="10"/>
      <c r="I4880" s="10">
        <v>71.150000000000006</v>
      </c>
    </row>
    <row r="4881" spans="1:9" s="3" customFormat="1" ht="21.75" customHeight="1">
      <c r="A4881" s="8" t="s">
        <v>29</v>
      </c>
      <c r="B4881" s="8" t="s">
        <v>16</v>
      </c>
      <c r="C4881" s="9" t="str">
        <f t="shared" si="120"/>
        <v>230136</v>
      </c>
      <c r="D4881" s="9" t="str">
        <f>"230910806"</f>
        <v>230910806</v>
      </c>
      <c r="E4881" s="10">
        <v>71.819999999999993</v>
      </c>
      <c r="F4881" s="10"/>
      <c r="G4881" s="10">
        <v>70.5</v>
      </c>
      <c r="H4881" s="10"/>
      <c r="I4881" s="10">
        <v>71.03</v>
      </c>
    </row>
    <row r="4882" spans="1:9" s="2" customFormat="1" ht="21.75" customHeight="1">
      <c r="A4882" s="8" t="s">
        <v>29</v>
      </c>
      <c r="B4882" s="8" t="s">
        <v>16</v>
      </c>
      <c r="C4882" s="9" t="str">
        <f t="shared" si="120"/>
        <v>230136</v>
      </c>
      <c r="D4882" s="9" t="str">
        <f>"230910821"</f>
        <v>230910821</v>
      </c>
      <c r="E4882" s="10">
        <v>63.56</v>
      </c>
      <c r="F4882" s="10"/>
      <c r="G4882" s="10">
        <v>76</v>
      </c>
      <c r="H4882" s="10"/>
      <c r="I4882" s="10">
        <v>71.02</v>
      </c>
    </row>
    <row r="4883" spans="1:9" s="3" customFormat="1" ht="21.75" customHeight="1">
      <c r="A4883" s="8" t="s">
        <v>29</v>
      </c>
      <c r="B4883" s="8" t="s">
        <v>16</v>
      </c>
      <c r="C4883" s="9" t="str">
        <f t="shared" si="120"/>
        <v>230136</v>
      </c>
      <c r="D4883" s="9" t="str">
        <f>"230910813"</f>
        <v>230910813</v>
      </c>
      <c r="E4883" s="10">
        <v>63.52</v>
      </c>
      <c r="F4883" s="10"/>
      <c r="G4883" s="10">
        <v>76</v>
      </c>
      <c r="H4883" s="10"/>
      <c r="I4883" s="10">
        <v>71.010000000000005</v>
      </c>
    </row>
    <row r="4884" spans="1:9" s="2" customFormat="1" ht="21.75" customHeight="1">
      <c r="A4884" s="8" t="s">
        <v>29</v>
      </c>
      <c r="B4884" s="8" t="s">
        <v>16</v>
      </c>
      <c r="C4884" s="9" t="str">
        <f t="shared" si="120"/>
        <v>230136</v>
      </c>
      <c r="D4884" s="9" t="str">
        <f>"230910803"</f>
        <v>230910803</v>
      </c>
      <c r="E4884" s="10">
        <v>69.739999999999995</v>
      </c>
      <c r="F4884" s="10"/>
      <c r="G4884" s="10">
        <v>71.5</v>
      </c>
      <c r="H4884" s="10"/>
      <c r="I4884" s="10">
        <v>70.8</v>
      </c>
    </row>
    <row r="4885" spans="1:9" s="2" customFormat="1" ht="21.75" customHeight="1">
      <c r="A4885" s="8" t="s">
        <v>29</v>
      </c>
      <c r="B4885" s="8" t="s">
        <v>16</v>
      </c>
      <c r="C4885" s="9" t="str">
        <f t="shared" si="120"/>
        <v>230136</v>
      </c>
      <c r="D4885" s="9" t="str">
        <f>"230910830"</f>
        <v>230910830</v>
      </c>
      <c r="E4885" s="10">
        <v>71.599999999999994</v>
      </c>
      <c r="F4885" s="10"/>
      <c r="G4885" s="10">
        <v>69</v>
      </c>
      <c r="H4885" s="10"/>
      <c r="I4885" s="10">
        <v>70.040000000000006</v>
      </c>
    </row>
    <row r="4886" spans="1:9" s="3" customFormat="1" ht="21.75" customHeight="1">
      <c r="A4886" s="8" t="s">
        <v>29</v>
      </c>
      <c r="B4886" s="8" t="s">
        <v>16</v>
      </c>
      <c r="C4886" s="9" t="str">
        <f t="shared" si="120"/>
        <v>230136</v>
      </c>
      <c r="D4886" s="9" t="str">
        <f>"230910820"</f>
        <v>230910820</v>
      </c>
      <c r="E4886" s="10">
        <v>69.06</v>
      </c>
      <c r="F4886" s="10"/>
      <c r="G4886" s="10">
        <v>69.5</v>
      </c>
      <c r="H4886" s="10"/>
      <c r="I4886" s="10">
        <v>69.319999999999993</v>
      </c>
    </row>
    <row r="4887" spans="1:9" s="2" customFormat="1" ht="21.75" customHeight="1">
      <c r="A4887" s="8" t="s">
        <v>29</v>
      </c>
      <c r="B4887" s="8" t="s">
        <v>16</v>
      </c>
      <c r="C4887" s="9" t="str">
        <f t="shared" ref="C4887:C4915" si="121">"230136"</f>
        <v>230136</v>
      </c>
      <c r="D4887" s="9" t="str">
        <f>"230910719"</f>
        <v>230910719</v>
      </c>
      <c r="E4887" s="10">
        <v>66.05</v>
      </c>
      <c r="F4887" s="10"/>
      <c r="G4887" s="10">
        <v>71</v>
      </c>
      <c r="H4887" s="10"/>
      <c r="I4887" s="10">
        <v>69.02</v>
      </c>
    </row>
    <row r="4888" spans="1:9" s="2" customFormat="1" ht="21.75" customHeight="1">
      <c r="A4888" s="8" t="s">
        <v>29</v>
      </c>
      <c r="B4888" s="8" t="s">
        <v>16</v>
      </c>
      <c r="C4888" s="9" t="str">
        <f t="shared" si="121"/>
        <v>230136</v>
      </c>
      <c r="D4888" s="9" t="str">
        <f>"230910630"</f>
        <v>230910630</v>
      </c>
      <c r="E4888" s="10">
        <v>58.37</v>
      </c>
      <c r="F4888" s="10"/>
      <c r="G4888" s="10">
        <v>76</v>
      </c>
      <c r="H4888" s="10"/>
      <c r="I4888" s="10">
        <v>68.95</v>
      </c>
    </row>
    <row r="4889" spans="1:9" s="2" customFormat="1" ht="21.75" customHeight="1">
      <c r="A4889" s="8" t="s">
        <v>29</v>
      </c>
      <c r="B4889" s="8" t="s">
        <v>16</v>
      </c>
      <c r="C4889" s="9" t="str">
        <f t="shared" si="121"/>
        <v>230136</v>
      </c>
      <c r="D4889" s="9" t="str">
        <f>"230910709"</f>
        <v>230910709</v>
      </c>
      <c r="E4889" s="10">
        <v>64.239999999999995</v>
      </c>
      <c r="F4889" s="10"/>
      <c r="G4889" s="10">
        <v>72</v>
      </c>
      <c r="H4889" s="10"/>
      <c r="I4889" s="10">
        <v>68.900000000000006</v>
      </c>
    </row>
    <row r="4890" spans="1:9" s="2" customFormat="1" ht="21.75" customHeight="1">
      <c r="A4890" s="8" t="s">
        <v>29</v>
      </c>
      <c r="B4890" s="8" t="s">
        <v>16</v>
      </c>
      <c r="C4890" s="9" t="str">
        <f t="shared" si="121"/>
        <v>230136</v>
      </c>
      <c r="D4890" s="9" t="str">
        <f>"230910826"</f>
        <v>230910826</v>
      </c>
      <c r="E4890" s="10">
        <v>66.98</v>
      </c>
      <c r="F4890" s="10"/>
      <c r="G4890" s="10">
        <v>66</v>
      </c>
      <c r="H4890" s="10"/>
      <c r="I4890" s="10">
        <v>66.39</v>
      </c>
    </row>
    <row r="4891" spans="1:9" s="3" customFormat="1" ht="21.75" customHeight="1">
      <c r="A4891" s="8" t="s">
        <v>29</v>
      </c>
      <c r="B4891" s="8" t="s">
        <v>16</v>
      </c>
      <c r="C4891" s="9" t="str">
        <f t="shared" si="121"/>
        <v>230136</v>
      </c>
      <c r="D4891" s="9" t="str">
        <f>"230910812"</f>
        <v>230910812</v>
      </c>
      <c r="E4891" s="10">
        <v>66.42</v>
      </c>
      <c r="F4891" s="10"/>
      <c r="G4891" s="10">
        <v>66</v>
      </c>
      <c r="H4891" s="10"/>
      <c r="I4891" s="10">
        <v>66.17</v>
      </c>
    </row>
    <row r="4892" spans="1:9" s="2" customFormat="1" ht="21.75" customHeight="1">
      <c r="A4892" s="8" t="s">
        <v>29</v>
      </c>
      <c r="B4892" s="8" t="s">
        <v>16</v>
      </c>
      <c r="C4892" s="9" t="str">
        <f t="shared" si="121"/>
        <v>230136</v>
      </c>
      <c r="D4892" s="9" t="str">
        <f>"230910727"</f>
        <v>230910727</v>
      </c>
      <c r="E4892" s="10">
        <v>62.72</v>
      </c>
      <c r="F4892" s="10"/>
      <c r="G4892" s="10">
        <v>66.5</v>
      </c>
      <c r="H4892" s="10"/>
      <c r="I4892" s="10">
        <v>64.989999999999995</v>
      </c>
    </row>
    <row r="4893" spans="1:9" s="2" customFormat="1" ht="21.75" customHeight="1">
      <c r="A4893" s="8" t="s">
        <v>29</v>
      </c>
      <c r="B4893" s="8" t="s">
        <v>16</v>
      </c>
      <c r="C4893" s="9" t="str">
        <f t="shared" si="121"/>
        <v>230136</v>
      </c>
      <c r="D4893" s="9" t="str">
        <f>"230910816"</f>
        <v>230910816</v>
      </c>
      <c r="E4893" s="10">
        <v>57.56</v>
      </c>
      <c r="F4893" s="10"/>
      <c r="G4893" s="10">
        <v>69</v>
      </c>
      <c r="H4893" s="10"/>
      <c r="I4893" s="10">
        <v>64.42</v>
      </c>
    </row>
    <row r="4894" spans="1:9" s="3" customFormat="1" ht="21.75" customHeight="1">
      <c r="A4894" s="8" t="s">
        <v>29</v>
      </c>
      <c r="B4894" s="8" t="s">
        <v>16</v>
      </c>
      <c r="C4894" s="9" t="str">
        <f t="shared" si="121"/>
        <v>230136</v>
      </c>
      <c r="D4894" s="9" t="str">
        <f>"230910828"</f>
        <v>230910828</v>
      </c>
      <c r="E4894" s="10">
        <v>52.4</v>
      </c>
      <c r="F4894" s="10"/>
      <c r="G4894" s="10">
        <v>71.5</v>
      </c>
      <c r="H4894" s="10"/>
      <c r="I4894" s="10">
        <v>63.86</v>
      </c>
    </row>
    <row r="4895" spans="1:9" s="2" customFormat="1" ht="21.75" customHeight="1">
      <c r="A4895" s="8" t="s">
        <v>29</v>
      </c>
      <c r="B4895" s="8" t="s">
        <v>16</v>
      </c>
      <c r="C4895" s="9" t="str">
        <f t="shared" si="121"/>
        <v>230136</v>
      </c>
      <c r="D4895" s="9" t="str">
        <f>"230910704"</f>
        <v>230910704</v>
      </c>
      <c r="E4895" s="10">
        <v>59.42</v>
      </c>
      <c r="F4895" s="10"/>
      <c r="G4895" s="10">
        <v>65.5</v>
      </c>
      <c r="H4895" s="10"/>
      <c r="I4895" s="10">
        <v>63.07</v>
      </c>
    </row>
    <row r="4896" spans="1:9" s="2" customFormat="1" ht="21.75" customHeight="1">
      <c r="A4896" s="8" t="s">
        <v>29</v>
      </c>
      <c r="B4896" s="8" t="s">
        <v>16</v>
      </c>
      <c r="C4896" s="9" t="str">
        <f t="shared" si="121"/>
        <v>230136</v>
      </c>
      <c r="D4896" s="9" t="str">
        <f>"230910817"</f>
        <v>230910817</v>
      </c>
      <c r="E4896" s="10">
        <v>62.87</v>
      </c>
      <c r="F4896" s="10"/>
      <c r="G4896" s="10">
        <v>59.5</v>
      </c>
      <c r="H4896" s="10"/>
      <c r="I4896" s="10">
        <v>60.85</v>
      </c>
    </row>
    <row r="4897" spans="1:9" s="2" customFormat="1" ht="21.75" customHeight="1">
      <c r="A4897" s="8" t="s">
        <v>29</v>
      </c>
      <c r="B4897" s="8" t="s">
        <v>16</v>
      </c>
      <c r="C4897" s="9" t="str">
        <f t="shared" si="121"/>
        <v>230136</v>
      </c>
      <c r="D4897" s="9" t="str">
        <f>"230910705"</f>
        <v>230910705</v>
      </c>
      <c r="E4897" s="10">
        <v>0</v>
      </c>
      <c r="F4897" s="10"/>
      <c r="G4897" s="10">
        <v>0</v>
      </c>
      <c r="H4897" s="10"/>
      <c r="I4897" s="10">
        <v>0</v>
      </c>
    </row>
    <row r="4898" spans="1:9" s="2" customFormat="1" ht="21.75" customHeight="1">
      <c r="A4898" s="8" t="s">
        <v>29</v>
      </c>
      <c r="B4898" s="8" t="s">
        <v>16</v>
      </c>
      <c r="C4898" s="9" t="str">
        <f t="shared" si="121"/>
        <v>230136</v>
      </c>
      <c r="D4898" s="9" t="str">
        <f>"230910706"</f>
        <v>230910706</v>
      </c>
      <c r="E4898" s="10">
        <v>0</v>
      </c>
      <c r="F4898" s="10"/>
      <c r="G4898" s="10">
        <v>0</v>
      </c>
      <c r="H4898" s="10"/>
      <c r="I4898" s="10">
        <v>0</v>
      </c>
    </row>
    <row r="4899" spans="1:9" s="2" customFormat="1" ht="21.75" customHeight="1">
      <c r="A4899" s="8" t="s">
        <v>29</v>
      </c>
      <c r="B4899" s="8" t="s">
        <v>16</v>
      </c>
      <c r="C4899" s="9" t="str">
        <f t="shared" si="121"/>
        <v>230136</v>
      </c>
      <c r="D4899" s="9" t="str">
        <f>"230910710"</f>
        <v>230910710</v>
      </c>
      <c r="E4899" s="10">
        <v>0</v>
      </c>
      <c r="F4899" s="10"/>
      <c r="G4899" s="10">
        <v>0</v>
      </c>
      <c r="H4899" s="10"/>
      <c r="I4899" s="10">
        <v>0</v>
      </c>
    </row>
    <row r="4900" spans="1:9" s="3" customFormat="1" ht="21.75" customHeight="1">
      <c r="A4900" s="8" t="s">
        <v>29</v>
      </c>
      <c r="B4900" s="8" t="s">
        <v>16</v>
      </c>
      <c r="C4900" s="9" t="str">
        <f t="shared" si="121"/>
        <v>230136</v>
      </c>
      <c r="D4900" s="9" t="str">
        <f>"230910712"</f>
        <v>230910712</v>
      </c>
      <c r="E4900" s="10">
        <v>0</v>
      </c>
      <c r="F4900" s="10"/>
      <c r="G4900" s="10">
        <v>0</v>
      </c>
      <c r="H4900" s="10"/>
      <c r="I4900" s="10">
        <v>0</v>
      </c>
    </row>
    <row r="4901" spans="1:9" s="2" customFormat="1" ht="21.75" customHeight="1">
      <c r="A4901" s="8" t="s">
        <v>29</v>
      </c>
      <c r="B4901" s="8" t="s">
        <v>16</v>
      </c>
      <c r="C4901" s="9" t="str">
        <f t="shared" si="121"/>
        <v>230136</v>
      </c>
      <c r="D4901" s="9" t="str">
        <f>"230910713"</f>
        <v>230910713</v>
      </c>
      <c r="E4901" s="10">
        <v>0</v>
      </c>
      <c r="F4901" s="10"/>
      <c r="G4901" s="10">
        <v>0</v>
      </c>
      <c r="H4901" s="10"/>
      <c r="I4901" s="10">
        <v>0</v>
      </c>
    </row>
    <row r="4902" spans="1:9" s="2" customFormat="1" ht="21.75" customHeight="1">
      <c r="A4902" s="8" t="s">
        <v>29</v>
      </c>
      <c r="B4902" s="8" t="s">
        <v>16</v>
      </c>
      <c r="C4902" s="9" t="str">
        <f t="shared" si="121"/>
        <v>230136</v>
      </c>
      <c r="D4902" s="9" t="str">
        <f>"230910716"</f>
        <v>230910716</v>
      </c>
      <c r="E4902" s="10">
        <v>0</v>
      </c>
      <c r="F4902" s="10"/>
      <c r="G4902" s="10">
        <v>0</v>
      </c>
      <c r="H4902" s="10"/>
      <c r="I4902" s="10">
        <v>0</v>
      </c>
    </row>
    <row r="4903" spans="1:9" s="2" customFormat="1" ht="21.75" customHeight="1">
      <c r="A4903" s="8" t="s">
        <v>29</v>
      </c>
      <c r="B4903" s="8" t="s">
        <v>16</v>
      </c>
      <c r="C4903" s="9" t="str">
        <f t="shared" si="121"/>
        <v>230136</v>
      </c>
      <c r="D4903" s="9" t="str">
        <f>"230910717"</f>
        <v>230910717</v>
      </c>
      <c r="E4903" s="10">
        <v>0</v>
      </c>
      <c r="F4903" s="10"/>
      <c r="G4903" s="10">
        <v>0</v>
      </c>
      <c r="H4903" s="10"/>
      <c r="I4903" s="10">
        <v>0</v>
      </c>
    </row>
    <row r="4904" spans="1:9" s="2" customFormat="1" ht="21.75" customHeight="1">
      <c r="A4904" s="8" t="s">
        <v>29</v>
      </c>
      <c r="B4904" s="8" t="s">
        <v>16</v>
      </c>
      <c r="C4904" s="9" t="str">
        <f t="shared" si="121"/>
        <v>230136</v>
      </c>
      <c r="D4904" s="9" t="str">
        <f>"230910720"</f>
        <v>230910720</v>
      </c>
      <c r="E4904" s="10">
        <v>0</v>
      </c>
      <c r="F4904" s="10"/>
      <c r="G4904" s="10">
        <v>0</v>
      </c>
      <c r="H4904" s="10"/>
      <c r="I4904" s="10">
        <v>0</v>
      </c>
    </row>
    <row r="4905" spans="1:9" s="2" customFormat="1" ht="21.75" customHeight="1">
      <c r="A4905" s="8" t="s">
        <v>29</v>
      </c>
      <c r="B4905" s="8" t="s">
        <v>16</v>
      </c>
      <c r="C4905" s="9" t="str">
        <f t="shared" si="121"/>
        <v>230136</v>
      </c>
      <c r="D4905" s="9" t="str">
        <f>"230910721"</f>
        <v>230910721</v>
      </c>
      <c r="E4905" s="10">
        <v>0</v>
      </c>
      <c r="F4905" s="10"/>
      <c r="G4905" s="10">
        <v>0</v>
      </c>
      <c r="H4905" s="10"/>
      <c r="I4905" s="10">
        <v>0</v>
      </c>
    </row>
    <row r="4906" spans="1:9" s="3" customFormat="1" ht="21.75" customHeight="1">
      <c r="A4906" s="8" t="s">
        <v>29</v>
      </c>
      <c r="B4906" s="8" t="s">
        <v>16</v>
      </c>
      <c r="C4906" s="9" t="str">
        <f t="shared" si="121"/>
        <v>230136</v>
      </c>
      <c r="D4906" s="9" t="str">
        <f>"230910722"</f>
        <v>230910722</v>
      </c>
      <c r="E4906" s="10">
        <v>0</v>
      </c>
      <c r="F4906" s="10"/>
      <c r="G4906" s="10">
        <v>0</v>
      </c>
      <c r="H4906" s="10"/>
      <c r="I4906" s="10">
        <v>0</v>
      </c>
    </row>
    <row r="4907" spans="1:9" s="3" customFormat="1" ht="21.75" customHeight="1">
      <c r="A4907" s="8" t="s">
        <v>29</v>
      </c>
      <c r="B4907" s="8" t="s">
        <v>16</v>
      </c>
      <c r="C4907" s="9" t="str">
        <f t="shared" si="121"/>
        <v>230136</v>
      </c>
      <c r="D4907" s="9" t="str">
        <f>"230910725"</f>
        <v>230910725</v>
      </c>
      <c r="E4907" s="10">
        <v>0</v>
      </c>
      <c r="F4907" s="10"/>
      <c r="G4907" s="10">
        <v>0</v>
      </c>
      <c r="H4907" s="10"/>
      <c r="I4907" s="10">
        <v>0</v>
      </c>
    </row>
    <row r="4908" spans="1:9" s="3" customFormat="1" ht="21.75" customHeight="1">
      <c r="A4908" s="8" t="s">
        <v>29</v>
      </c>
      <c r="B4908" s="8" t="s">
        <v>16</v>
      </c>
      <c r="C4908" s="9" t="str">
        <f t="shared" si="121"/>
        <v>230136</v>
      </c>
      <c r="D4908" s="9" t="str">
        <f>"230910728"</f>
        <v>230910728</v>
      </c>
      <c r="E4908" s="10">
        <v>0</v>
      </c>
      <c r="F4908" s="10"/>
      <c r="G4908" s="10">
        <v>0</v>
      </c>
      <c r="H4908" s="10"/>
      <c r="I4908" s="10">
        <v>0</v>
      </c>
    </row>
    <row r="4909" spans="1:9" s="2" customFormat="1" ht="21.75" customHeight="1">
      <c r="A4909" s="8" t="s">
        <v>29</v>
      </c>
      <c r="B4909" s="8" t="s">
        <v>16</v>
      </c>
      <c r="C4909" s="9" t="str">
        <f t="shared" si="121"/>
        <v>230136</v>
      </c>
      <c r="D4909" s="9" t="str">
        <f>"230910729"</f>
        <v>230910729</v>
      </c>
      <c r="E4909" s="10">
        <v>0</v>
      </c>
      <c r="F4909" s="10"/>
      <c r="G4909" s="10">
        <v>0</v>
      </c>
      <c r="H4909" s="10"/>
      <c r="I4909" s="10">
        <v>0</v>
      </c>
    </row>
    <row r="4910" spans="1:9" s="2" customFormat="1" ht="21.75" customHeight="1">
      <c r="A4910" s="8" t="s">
        <v>29</v>
      </c>
      <c r="B4910" s="8" t="s">
        <v>16</v>
      </c>
      <c r="C4910" s="9" t="str">
        <f t="shared" si="121"/>
        <v>230136</v>
      </c>
      <c r="D4910" s="9" t="str">
        <f>"230910730"</f>
        <v>230910730</v>
      </c>
      <c r="E4910" s="10">
        <v>0</v>
      </c>
      <c r="F4910" s="10"/>
      <c r="G4910" s="10">
        <v>0</v>
      </c>
      <c r="H4910" s="10"/>
      <c r="I4910" s="10">
        <v>0</v>
      </c>
    </row>
    <row r="4911" spans="1:9" s="2" customFormat="1" ht="21.75" customHeight="1">
      <c r="A4911" s="8" t="s">
        <v>29</v>
      </c>
      <c r="B4911" s="8" t="s">
        <v>16</v>
      </c>
      <c r="C4911" s="9" t="str">
        <f t="shared" si="121"/>
        <v>230136</v>
      </c>
      <c r="D4911" s="9" t="str">
        <f>"230910801"</f>
        <v>230910801</v>
      </c>
      <c r="E4911" s="10">
        <v>0</v>
      </c>
      <c r="F4911" s="10"/>
      <c r="G4911" s="10">
        <v>0</v>
      </c>
      <c r="H4911" s="10"/>
      <c r="I4911" s="10">
        <v>0</v>
      </c>
    </row>
    <row r="4912" spans="1:9" s="2" customFormat="1" ht="21.75" customHeight="1">
      <c r="A4912" s="8" t="s">
        <v>29</v>
      </c>
      <c r="B4912" s="8" t="s">
        <v>16</v>
      </c>
      <c r="C4912" s="9" t="str">
        <f t="shared" si="121"/>
        <v>230136</v>
      </c>
      <c r="D4912" s="9" t="str">
        <f>"230910802"</f>
        <v>230910802</v>
      </c>
      <c r="E4912" s="10">
        <v>0</v>
      </c>
      <c r="F4912" s="10"/>
      <c r="G4912" s="10">
        <v>0</v>
      </c>
      <c r="H4912" s="10"/>
      <c r="I4912" s="10">
        <v>0</v>
      </c>
    </row>
    <row r="4913" spans="1:9" s="2" customFormat="1" ht="21.75" customHeight="1">
      <c r="A4913" s="8" t="s">
        <v>29</v>
      </c>
      <c r="B4913" s="8" t="s">
        <v>16</v>
      </c>
      <c r="C4913" s="9" t="str">
        <f t="shared" si="121"/>
        <v>230136</v>
      </c>
      <c r="D4913" s="9" t="str">
        <f>"230910804"</f>
        <v>230910804</v>
      </c>
      <c r="E4913" s="10">
        <v>0</v>
      </c>
      <c r="F4913" s="10"/>
      <c r="G4913" s="10">
        <v>0</v>
      </c>
      <c r="H4913" s="10"/>
      <c r="I4913" s="10">
        <v>0</v>
      </c>
    </row>
    <row r="4914" spans="1:9" s="2" customFormat="1" ht="21.75" customHeight="1">
      <c r="A4914" s="8" t="s">
        <v>29</v>
      </c>
      <c r="B4914" s="8" t="s">
        <v>16</v>
      </c>
      <c r="C4914" s="9" t="str">
        <f t="shared" si="121"/>
        <v>230136</v>
      </c>
      <c r="D4914" s="9" t="str">
        <f>"230910805"</f>
        <v>230910805</v>
      </c>
      <c r="E4914" s="10">
        <v>0</v>
      </c>
      <c r="F4914" s="10"/>
      <c r="G4914" s="10">
        <v>0</v>
      </c>
      <c r="H4914" s="10"/>
      <c r="I4914" s="10">
        <v>0</v>
      </c>
    </row>
    <row r="4915" spans="1:9" s="2" customFormat="1" ht="21.75" customHeight="1">
      <c r="A4915" s="8" t="s">
        <v>29</v>
      </c>
      <c r="B4915" s="8" t="s">
        <v>16</v>
      </c>
      <c r="C4915" s="9" t="str">
        <f t="shared" si="121"/>
        <v>230136</v>
      </c>
      <c r="D4915" s="9" t="str">
        <f>"230910818"</f>
        <v>230910818</v>
      </c>
      <c r="E4915" s="10">
        <v>0</v>
      </c>
      <c r="F4915" s="10"/>
      <c r="G4915" s="10">
        <v>0</v>
      </c>
      <c r="H4915" s="10"/>
      <c r="I4915" s="10">
        <v>0</v>
      </c>
    </row>
    <row r="4916" spans="1:9" ht="21.75" customHeight="1">
      <c r="A4916" s="8" t="s">
        <v>29</v>
      </c>
      <c r="B4916" s="8" t="s">
        <v>17</v>
      </c>
      <c r="C4916" s="9" t="str">
        <f t="shared" ref="C4916:C4947" si="122">"230137"</f>
        <v>230137</v>
      </c>
      <c r="D4916" s="9" t="str">
        <f>"230916710"</f>
        <v>230916710</v>
      </c>
      <c r="E4916" s="10">
        <v>75.959999999999994</v>
      </c>
      <c r="F4916" s="10"/>
      <c r="G4916" s="10">
        <v>75.2</v>
      </c>
      <c r="H4916" s="10"/>
      <c r="I4916" s="10">
        <v>75.5</v>
      </c>
    </row>
    <row r="4917" spans="1:9" ht="21.75" customHeight="1">
      <c r="A4917" s="8" t="s">
        <v>29</v>
      </c>
      <c r="B4917" s="8" t="s">
        <v>17</v>
      </c>
      <c r="C4917" s="9" t="str">
        <f t="shared" si="122"/>
        <v>230137</v>
      </c>
      <c r="D4917" s="9" t="str">
        <f>"230916613"</f>
        <v>230916613</v>
      </c>
      <c r="E4917" s="10">
        <v>76.989999999999995</v>
      </c>
      <c r="F4917" s="10"/>
      <c r="G4917" s="10">
        <v>72.88</v>
      </c>
      <c r="H4917" s="10"/>
      <c r="I4917" s="10">
        <v>74.52</v>
      </c>
    </row>
    <row r="4918" spans="1:9" ht="21.75" customHeight="1">
      <c r="A4918" s="8" t="s">
        <v>29</v>
      </c>
      <c r="B4918" s="8" t="s">
        <v>17</v>
      </c>
      <c r="C4918" s="9" t="str">
        <f t="shared" si="122"/>
        <v>230137</v>
      </c>
      <c r="D4918" s="9" t="str">
        <f>"230916603"</f>
        <v>230916603</v>
      </c>
      <c r="E4918" s="10">
        <v>76.400000000000006</v>
      </c>
      <c r="F4918" s="10"/>
      <c r="G4918" s="10">
        <v>69.599999999999994</v>
      </c>
      <c r="H4918" s="10"/>
      <c r="I4918" s="10">
        <v>72.319999999999993</v>
      </c>
    </row>
    <row r="4919" spans="1:9" s="1" customFormat="1" ht="21.75" customHeight="1">
      <c r="A4919" s="8" t="s">
        <v>29</v>
      </c>
      <c r="B4919" s="8" t="s">
        <v>17</v>
      </c>
      <c r="C4919" s="9" t="str">
        <f t="shared" si="122"/>
        <v>230137</v>
      </c>
      <c r="D4919" s="9" t="str">
        <f>"230916621"</f>
        <v>230916621</v>
      </c>
      <c r="E4919" s="10">
        <v>77.319999999999993</v>
      </c>
      <c r="F4919" s="10"/>
      <c r="G4919" s="10">
        <v>68.37</v>
      </c>
      <c r="H4919" s="10"/>
      <c r="I4919" s="10">
        <v>71.95</v>
      </c>
    </row>
    <row r="4920" spans="1:9" s="1" customFormat="1" ht="21.75" customHeight="1">
      <c r="A4920" s="8" t="s">
        <v>29</v>
      </c>
      <c r="B4920" s="8" t="s">
        <v>17</v>
      </c>
      <c r="C4920" s="9" t="str">
        <f t="shared" si="122"/>
        <v>230137</v>
      </c>
      <c r="D4920" s="9" t="str">
        <f>"230916702"</f>
        <v>230916702</v>
      </c>
      <c r="E4920" s="10">
        <v>77.239999999999995</v>
      </c>
      <c r="F4920" s="10"/>
      <c r="G4920" s="10">
        <v>68.209999999999994</v>
      </c>
      <c r="H4920" s="10"/>
      <c r="I4920" s="10">
        <v>71.819999999999993</v>
      </c>
    </row>
    <row r="4921" spans="1:9" s="1" customFormat="1" ht="21.75" customHeight="1">
      <c r="A4921" s="8" t="s">
        <v>29</v>
      </c>
      <c r="B4921" s="8" t="s">
        <v>17</v>
      </c>
      <c r="C4921" s="9" t="str">
        <f t="shared" si="122"/>
        <v>230137</v>
      </c>
      <c r="D4921" s="9" t="str">
        <f>"230916713"</f>
        <v>230916713</v>
      </c>
      <c r="E4921" s="10">
        <v>66.400000000000006</v>
      </c>
      <c r="F4921" s="10"/>
      <c r="G4921" s="10">
        <v>74.709999999999994</v>
      </c>
      <c r="H4921" s="10"/>
      <c r="I4921" s="10">
        <v>71.39</v>
      </c>
    </row>
    <row r="4922" spans="1:9" s="1" customFormat="1" ht="21.75" customHeight="1">
      <c r="A4922" s="8" t="s">
        <v>29</v>
      </c>
      <c r="B4922" s="8" t="s">
        <v>17</v>
      </c>
      <c r="C4922" s="9" t="str">
        <f t="shared" si="122"/>
        <v>230137</v>
      </c>
      <c r="D4922" s="9" t="str">
        <f>"230916527"</f>
        <v>230916527</v>
      </c>
      <c r="E4922" s="10">
        <v>66.069999999999993</v>
      </c>
      <c r="F4922" s="10"/>
      <c r="G4922" s="10">
        <v>74.540000000000006</v>
      </c>
      <c r="H4922" s="10"/>
      <c r="I4922" s="10">
        <v>71.150000000000006</v>
      </c>
    </row>
    <row r="4923" spans="1:9" ht="21.75" customHeight="1">
      <c r="A4923" s="8" t="s">
        <v>29</v>
      </c>
      <c r="B4923" s="8" t="s">
        <v>17</v>
      </c>
      <c r="C4923" s="9" t="str">
        <f t="shared" si="122"/>
        <v>230137</v>
      </c>
      <c r="D4923" s="9" t="str">
        <f>"230916703"</f>
        <v>230916703</v>
      </c>
      <c r="E4923" s="10">
        <v>65.5</v>
      </c>
      <c r="F4923" s="10"/>
      <c r="G4923" s="10">
        <v>74.83</v>
      </c>
      <c r="H4923" s="10"/>
      <c r="I4923" s="10">
        <v>71.099999999999994</v>
      </c>
    </row>
    <row r="4924" spans="1:9" ht="21.75" customHeight="1">
      <c r="A4924" s="8" t="s">
        <v>29</v>
      </c>
      <c r="B4924" s="8" t="s">
        <v>17</v>
      </c>
      <c r="C4924" s="9" t="str">
        <f t="shared" si="122"/>
        <v>230137</v>
      </c>
      <c r="D4924" s="9" t="str">
        <f>"230916704"</f>
        <v>230916704</v>
      </c>
      <c r="E4924" s="10">
        <v>65.84</v>
      </c>
      <c r="F4924" s="10"/>
      <c r="G4924" s="10">
        <v>73.599999999999994</v>
      </c>
      <c r="H4924" s="10"/>
      <c r="I4924" s="10">
        <v>70.5</v>
      </c>
    </row>
    <row r="4925" spans="1:9" ht="21.75" customHeight="1">
      <c r="A4925" s="8" t="s">
        <v>29</v>
      </c>
      <c r="B4925" s="8" t="s">
        <v>17</v>
      </c>
      <c r="C4925" s="9" t="str">
        <f t="shared" si="122"/>
        <v>230137</v>
      </c>
      <c r="D4925" s="9" t="str">
        <f>"230916630"</f>
        <v>230916630</v>
      </c>
      <c r="E4925" s="10">
        <v>73.88</v>
      </c>
      <c r="F4925" s="10"/>
      <c r="G4925" s="10">
        <v>67.319999999999993</v>
      </c>
      <c r="H4925" s="10"/>
      <c r="I4925" s="10">
        <v>69.94</v>
      </c>
    </row>
    <row r="4926" spans="1:9" s="1" customFormat="1" ht="21.75" customHeight="1">
      <c r="A4926" s="8" t="s">
        <v>29</v>
      </c>
      <c r="B4926" s="8" t="s">
        <v>17</v>
      </c>
      <c r="C4926" s="9" t="str">
        <f t="shared" si="122"/>
        <v>230137</v>
      </c>
      <c r="D4926" s="9" t="str">
        <f>"230916604"</f>
        <v>230916604</v>
      </c>
      <c r="E4926" s="10">
        <v>77.900000000000006</v>
      </c>
      <c r="F4926" s="10"/>
      <c r="G4926" s="10">
        <v>64.37</v>
      </c>
      <c r="H4926" s="10"/>
      <c r="I4926" s="10">
        <v>69.78</v>
      </c>
    </row>
    <row r="4927" spans="1:9" s="1" customFormat="1" ht="21.75" customHeight="1">
      <c r="A4927" s="8" t="s">
        <v>29</v>
      </c>
      <c r="B4927" s="8" t="s">
        <v>17</v>
      </c>
      <c r="C4927" s="9" t="str">
        <f t="shared" si="122"/>
        <v>230137</v>
      </c>
      <c r="D4927" s="9" t="str">
        <f>"230916714"</f>
        <v>230916714</v>
      </c>
      <c r="E4927" s="10">
        <v>74.92</v>
      </c>
      <c r="F4927" s="10"/>
      <c r="G4927" s="10">
        <v>62.56</v>
      </c>
      <c r="H4927" s="10"/>
      <c r="I4927" s="10">
        <v>67.5</v>
      </c>
    </row>
    <row r="4928" spans="1:9" s="1" customFormat="1" ht="21.75" customHeight="1">
      <c r="A4928" s="8" t="s">
        <v>29</v>
      </c>
      <c r="B4928" s="8" t="s">
        <v>17</v>
      </c>
      <c r="C4928" s="9" t="str">
        <f t="shared" si="122"/>
        <v>230137</v>
      </c>
      <c r="D4928" s="9" t="str">
        <f>"230916628"</f>
        <v>230916628</v>
      </c>
      <c r="E4928" s="10">
        <v>70.209999999999994</v>
      </c>
      <c r="F4928" s="10"/>
      <c r="G4928" s="10">
        <v>58.72</v>
      </c>
      <c r="H4928" s="10"/>
      <c r="I4928" s="10">
        <v>63.32</v>
      </c>
    </row>
    <row r="4929" spans="1:9" ht="21.75" customHeight="1">
      <c r="A4929" s="8" t="s">
        <v>29</v>
      </c>
      <c r="B4929" s="8" t="s">
        <v>17</v>
      </c>
      <c r="C4929" s="9" t="str">
        <f t="shared" si="122"/>
        <v>230137</v>
      </c>
      <c r="D4929" s="9" t="str">
        <f>"230916618"</f>
        <v>230916618</v>
      </c>
      <c r="E4929" s="10">
        <v>67.8</v>
      </c>
      <c r="F4929" s="10"/>
      <c r="G4929" s="10">
        <v>57.16</v>
      </c>
      <c r="H4929" s="10"/>
      <c r="I4929" s="10">
        <v>61.42</v>
      </c>
    </row>
    <row r="4930" spans="1:9" s="1" customFormat="1" ht="21.75" customHeight="1">
      <c r="A4930" s="8" t="s">
        <v>29</v>
      </c>
      <c r="B4930" s="8" t="s">
        <v>17</v>
      </c>
      <c r="C4930" s="9" t="str">
        <f t="shared" si="122"/>
        <v>230137</v>
      </c>
      <c r="D4930" s="9" t="str">
        <f>"230916709"</f>
        <v>230916709</v>
      </c>
      <c r="E4930" s="10">
        <v>66.88</v>
      </c>
      <c r="F4930" s="10"/>
      <c r="G4930" s="10">
        <v>56.43</v>
      </c>
      <c r="H4930" s="10"/>
      <c r="I4930" s="10">
        <v>60.61</v>
      </c>
    </row>
    <row r="4931" spans="1:9" s="1" customFormat="1" ht="21.75" customHeight="1">
      <c r="A4931" s="8" t="s">
        <v>29</v>
      </c>
      <c r="B4931" s="8" t="s">
        <v>17</v>
      </c>
      <c r="C4931" s="9" t="str">
        <f t="shared" si="122"/>
        <v>230137</v>
      </c>
      <c r="D4931" s="9" t="str">
        <f>"230916611"</f>
        <v>230916611</v>
      </c>
      <c r="E4931" s="10">
        <v>71.819999999999993</v>
      </c>
      <c r="F4931" s="10"/>
      <c r="G4931" s="10">
        <v>52.23</v>
      </c>
      <c r="H4931" s="10"/>
      <c r="I4931" s="10">
        <v>60.07</v>
      </c>
    </row>
    <row r="4932" spans="1:9" ht="21.75" customHeight="1">
      <c r="A4932" s="8" t="s">
        <v>29</v>
      </c>
      <c r="B4932" s="8" t="s">
        <v>17</v>
      </c>
      <c r="C4932" s="9" t="str">
        <f t="shared" si="122"/>
        <v>230137</v>
      </c>
      <c r="D4932" s="9" t="str">
        <f>"230916529"</f>
        <v>230916529</v>
      </c>
      <c r="E4932" s="10">
        <v>76.41</v>
      </c>
      <c r="F4932" s="10"/>
      <c r="G4932" s="10">
        <v>49.14</v>
      </c>
      <c r="H4932" s="10"/>
      <c r="I4932" s="10">
        <v>60.05</v>
      </c>
    </row>
    <row r="4933" spans="1:9" s="1" customFormat="1" ht="21.75" customHeight="1">
      <c r="A4933" s="8" t="s">
        <v>29</v>
      </c>
      <c r="B4933" s="8" t="s">
        <v>17</v>
      </c>
      <c r="C4933" s="9" t="str">
        <f t="shared" si="122"/>
        <v>230137</v>
      </c>
      <c r="D4933" s="9" t="str">
        <f>"230916610"</f>
        <v>230916610</v>
      </c>
      <c r="E4933" s="10">
        <v>65.599999999999994</v>
      </c>
      <c r="F4933" s="10"/>
      <c r="G4933" s="10">
        <v>55.94</v>
      </c>
      <c r="H4933" s="10"/>
      <c r="I4933" s="10">
        <v>59.8</v>
      </c>
    </row>
    <row r="4934" spans="1:9" s="1" customFormat="1" ht="21.75" customHeight="1">
      <c r="A4934" s="8" t="s">
        <v>29</v>
      </c>
      <c r="B4934" s="8" t="s">
        <v>17</v>
      </c>
      <c r="C4934" s="9" t="str">
        <f t="shared" si="122"/>
        <v>230137</v>
      </c>
      <c r="D4934" s="9" t="str">
        <f>"230916607"</f>
        <v>230916607</v>
      </c>
      <c r="E4934" s="10">
        <v>64.23</v>
      </c>
      <c r="F4934" s="10"/>
      <c r="G4934" s="10">
        <v>53.69</v>
      </c>
      <c r="H4934" s="10"/>
      <c r="I4934" s="10">
        <v>57.91</v>
      </c>
    </row>
    <row r="4935" spans="1:9" s="1" customFormat="1" ht="21.75" customHeight="1">
      <c r="A4935" s="8" t="s">
        <v>29</v>
      </c>
      <c r="B4935" s="8" t="s">
        <v>17</v>
      </c>
      <c r="C4935" s="9" t="str">
        <f t="shared" si="122"/>
        <v>230137</v>
      </c>
      <c r="D4935" s="9" t="str">
        <f>"230916619"</f>
        <v>230916619</v>
      </c>
      <c r="E4935" s="10">
        <v>66.069999999999993</v>
      </c>
      <c r="F4935" s="10"/>
      <c r="G4935" s="10">
        <v>51.97</v>
      </c>
      <c r="H4935" s="10"/>
      <c r="I4935" s="10">
        <v>57.61</v>
      </c>
    </row>
    <row r="4936" spans="1:9" ht="21.75" customHeight="1">
      <c r="A4936" s="8" t="s">
        <v>29</v>
      </c>
      <c r="B4936" s="8" t="s">
        <v>17</v>
      </c>
      <c r="C4936" s="9" t="str">
        <f t="shared" si="122"/>
        <v>230137</v>
      </c>
      <c r="D4936" s="9" t="str">
        <f>"230916708"</f>
        <v>230916708</v>
      </c>
      <c r="E4936" s="10">
        <v>66.42</v>
      </c>
      <c r="F4936" s="10"/>
      <c r="G4936" s="10">
        <v>50.52</v>
      </c>
      <c r="H4936" s="10"/>
      <c r="I4936" s="10">
        <v>56.88</v>
      </c>
    </row>
    <row r="4937" spans="1:9" s="1" customFormat="1" ht="21.75" customHeight="1">
      <c r="A4937" s="8" t="s">
        <v>29</v>
      </c>
      <c r="B4937" s="8" t="s">
        <v>17</v>
      </c>
      <c r="C4937" s="9" t="str">
        <f t="shared" si="122"/>
        <v>230137</v>
      </c>
      <c r="D4937" s="9" t="str">
        <f>"230916526"</f>
        <v>230916526</v>
      </c>
      <c r="E4937" s="10">
        <v>67.22</v>
      </c>
      <c r="F4937" s="10"/>
      <c r="G4937" s="10">
        <v>49.77</v>
      </c>
      <c r="H4937" s="10"/>
      <c r="I4937" s="10">
        <v>56.75</v>
      </c>
    </row>
    <row r="4938" spans="1:9" ht="21.75" customHeight="1">
      <c r="A4938" s="8" t="s">
        <v>29</v>
      </c>
      <c r="B4938" s="8" t="s">
        <v>17</v>
      </c>
      <c r="C4938" s="9" t="str">
        <f t="shared" si="122"/>
        <v>230137</v>
      </c>
      <c r="D4938" s="9" t="str">
        <f>"230916626"</f>
        <v>230916626</v>
      </c>
      <c r="E4938" s="10">
        <v>64.209999999999994</v>
      </c>
      <c r="F4938" s="10"/>
      <c r="G4938" s="10">
        <v>51.18</v>
      </c>
      <c r="H4938" s="10"/>
      <c r="I4938" s="10">
        <v>56.39</v>
      </c>
    </row>
    <row r="4939" spans="1:9" ht="21.75" customHeight="1">
      <c r="A4939" s="8" t="s">
        <v>29</v>
      </c>
      <c r="B4939" s="8" t="s">
        <v>17</v>
      </c>
      <c r="C4939" s="9" t="str">
        <f t="shared" si="122"/>
        <v>230137</v>
      </c>
      <c r="D4939" s="9" t="str">
        <f>"230916606"</f>
        <v>230916606</v>
      </c>
      <c r="E4939" s="10">
        <v>65.150000000000006</v>
      </c>
      <c r="F4939" s="10"/>
      <c r="G4939" s="10">
        <v>48.6</v>
      </c>
      <c r="H4939" s="10"/>
      <c r="I4939" s="10">
        <v>55.22</v>
      </c>
    </row>
    <row r="4940" spans="1:9" ht="21.75" customHeight="1">
      <c r="A4940" s="8" t="s">
        <v>29</v>
      </c>
      <c r="B4940" s="8" t="s">
        <v>17</v>
      </c>
      <c r="C4940" s="9" t="str">
        <f t="shared" si="122"/>
        <v>230137</v>
      </c>
      <c r="D4940" s="9" t="str">
        <f>"230916617"</f>
        <v>230916617</v>
      </c>
      <c r="E4940" s="10">
        <v>65.150000000000006</v>
      </c>
      <c r="F4940" s="10"/>
      <c r="G4940" s="10">
        <v>48.21</v>
      </c>
      <c r="H4940" s="10"/>
      <c r="I4940" s="10">
        <v>54.99</v>
      </c>
    </row>
    <row r="4941" spans="1:9" ht="21.75" customHeight="1">
      <c r="A4941" s="8" t="s">
        <v>29</v>
      </c>
      <c r="B4941" s="8" t="s">
        <v>17</v>
      </c>
      <c r="C4941" s="9" t="str">
        <f t="shared" si="122"/>
        <v>230137</v>
      </c>
      <c r="D4941" s="9" t="str">
        <f>"230916614"</f>
        <v>230916614</v>
      </c>
      <c r="E4941" s="10">
        <v>72.510000000000005</v>
      </c>
      <c r="F4941" s="10"/>
      <c r="G4941" s="10">
        <v>40.25</v>
      </c>
      <c r="H4941" s="10"/>
      <c r="I4941" s="10">
        <v>53.15</v>
      </c>
    </row>
    <row r="4942" spans="1:9" s="1" customFormat="1" ht="21.75" customHeight="1">
      <c r="A4942" s="8" t="s">
        <v>29</v>
      </c>
      <c r="B4942" s="8" t="s">
        <v>17</v>
      </c>
      <c r="C4942" s="9" t="str">
        <f t="shared" si="122"/>
        <v>230137</v>
      </c>
      <c r="D4942" s="9" t="str">
        <f>"230916622"</f>
        <v>230916622</v>
      </c>
      <c r="E4942" s="10">
        <v>60.78</v>
      </c>
      <c r="F4942" s="10"/>
      <c r="G4942" s="10">
        <v>46.71</v>
      </c>
      <c r="H4942" s="10"/>
      <c r="I4942" s="10">
        <v>52.34</v>
      </c>
    </row>
    <row r="4943" spans="1:9" ht="21.75" customHeight="1">
      <c r="A4943" s="8" t="s">
        <v>29</v>
      </c>
      <c r="B4943" s="8" t="s">
        <v>17</v>
      </c>
      <c r="C4943" s="9" t="str">
        <f t="shared" si="122"/>
        <v>230137</v>
      </c>
      <c r="D4943" s="9" t="str">
        <f>"230916701"</f>
        <v>230916701</v>
      </c>
      <c r="E4943" s="10">
        <v>57.68</v>
      </c>
      <c r="F4943" s="10"/>
      <c r="G4943" s="10">
        <v>48.45</v>
      </c>
      <c r="H4943" s="10"/>
      <c r="I4943" s="10">
        <v>52.14</v>
      </c>
    </row>
    <row r="4944" spans="1:9" s="1" customFormat="1" ht="21.75" customHeight="1">
      <c r="A4944" s="8" t="s">
        <v>29</v>
      </c>
      <c r="B4944" s="8" t="s">
        <v>17</v>
      </c>
      <c r="C4944" s="9" t="str">
        <f t="shared" si="122"/>
        <v>230137</v>
      </c>
      <c r="D4944" s="9" t="str">
        <f>"230916525"</f>
        <v>230916525</v>
      </c>
      <c r="E4944" s="10">
        <v>65.709999999999994</v>
      </c>
      <c r="F4944" s="10"/>
      <c r="G4944" s="10">
        <v>41.97</v>
      </c>
      <c r="H4944" s="10"/>
      <c r="I4944" s="10">
        <v>51.47</v>
      </c>
    </row>
    <row r="4945" spans="1:9" s="1" customFormat="1" ht="21.75" customHeight="1">
      <c r="A4945" s="8" t="s">
        <v>29</v>
      </c>
      <c r="B4945" s="8" t="s">
        <v>17</v>
      </c>
      <c r="C4945" s="9" t="str">
        <f t="shared" si="122"/>
        <v>230137</v>
      </c>
      <c r="D4945" s="9" t="str">
        <f>"230916625"</f>
        <v>230916625</v>
      </c>
      <c r="E4945" s="10">
        <v>55.24</v>
      </c>
      <c r="F4945" s="10"/>
      <c r="G4945" s="10">
        <v>47.49</v>
      </c>
      <c r="H4945" s="10"/>
      <c r="I4945" s="10">
        <v>50.59</v>
      </c>
    </row>
    <row r="4946" spans="1:9" s="1" customFormat="1" ht="21.75" customHeight="1">
      <c r="A4946" s="8" t="s">
        <v>29</v>
      </c>
      <c r="B4946" s="8" t="s">
        <v>17</v>
      </c>
      <c r="C4946" s="9" t="str">
        <f t="shared" si="122"/>
        <v>230137</v>
      </c>
      <c r="D4946" s="9" t="str">
        <f>"230916601"</f>
        <v>230916601</v>
      </c>
      <c r="E4946" s="10">
        <v>60.07</v>
      </c>
      <c r="F4946" s="10"/>
      <c r="G4946" s="10">
        <v>43.21</v>
      </c>
      <c r="H4946" s="10"/>
      <c r="I4946" s="10">
        <v>49.95</v>
      </c>
    </row>
    <row r="4947" spans="1:9" ht="21.75" customHeight="1">
      <c r="A4947" s="8" t="s">
        <v>29</v>
      </c>
      <c r="B4947" s="8" t="s">
        <v>17</v>
      </c>
      <c r="C4947" s="9" t="str">
        <f t="shared" si="122"/>
        <v>230137</v>
      </c>
      <c r="D4947" s="9" t="str">
        <f>"230916615"</f>
        <v>230916615</v>
      </c>
      <c r="E4947" s="10">
        <v>59.17</v>
      </c>
      <c r="F4947" s="10"/>
      <c r="G4947" s="10">
        <v>41.95</v>
      </c>
      <c r="H4947" s="10"/>
      <c r="I4947" s="10">
        <v>48.84</v>
      </c>
    </row>
    <row r="4948" spans="1:9" ht="21.75" customHeight="1">
      <c r="A4948" s="8" t="s">
        <v>29</v>
      </c>
      <c r="B4948" s="8" t="s">
        <v>17</v>
      </c>
      <c r="C4948" s="9" t="str">
        <f t="shared" ref="C4948:C4965" si="123">"230137"</f>
        <v>230137</v>
      </c>
      <c r="D4948" s="9" t="str">
        <f>"230916705"</f>
        <v>230916705</v>
      </c>
      <c r="E4948" s="10">
        <v>57.45</v>
      </c>
      <c r="F4948" s="10"/>
      <c r="G4948" s="10">
        <v>42.05</v>
      </c>
      <c r="H4948" s="10"/>
      <c r="I4948" s="10">
        <v>48.21</v>
      </c>
    </row>
    <row r="4949" spans="1:9" s="1" customFormat="1" ht="21.75" customHeight="1">
      <c r="A4949" s="8" t="s">
        <v>29</v>
      </c>
      <c r="B4949" s="8" t="s">
        <v>17</v>
      </c>
      <c r="C4949" s="9" t="str">
        <f t="shared" si="123"/>
        <v>230137</v>
      </c>
      <c r="D4949" s="9" t="str">
        <f>"230916712"</f>
        <v>230916712</v>
      </c>
      <c r="E4949" s="10">
        <v>52.61</v>
      </c>
      <c r="F4949" s="10"/>
      <c r="G4949" s="10">
        <v>42.7</v>
      </c>
      <c r="H4949" s="10"/>
      <c r="I4949" s="10">
        <v>46.66</v>
      </c>
    </row>
    <row r="4950" spans="1:9" ht="21.75" customHeight="1">
      <c r="A4950" s="8" t="s">
        <v>29</v>
      </c>
      <c r="B4950" s="8" t="s">
        <v>17</v>
      </c>
      <c r="C4950" s="9" t="str">
        <f t="shared" si="123"/>
        <v>230137</v>
      </c>
      <c r="D4950" s="9" t="str">
        <f>"230916711"</f>
        <v>230916711</v>
      </c>
      <c r="E4950" s="10">
        <v>44.02</v>
      </c>
      <c r="F4950" s="10"/>
      <c r="G4950" s="10">
        <v>47.81</v>
      </c>
      <c r="H4950" s="10"/>
      <c r="I4950" s="10">
        <v>46.29</v>
      </c>
    </row>
    <row r="4951" spans="1:9" ht="21.75" customHeight="1">
      <c r="A4951" s="8" t="s">
        <v>29</v>
      </c>
      <c r="B4951" s="8" t="s">
        <v>17</v>
      </c>
      <c r="C4951" s="9" t="str">
        <f t="shared" si="123"/>
        <v>230137</v>
      </c>
      <c r="D4951" s="9" t="str">
        <f>"230916707"</f>
        <v>230916707</v>
      </c>
      <c r="E4951" s="10">
        <v>45.61</v>
      </c>
      <c r="F4951" s="10"/>
      <c r="G4951" s="10">
        <v>32.4</v>
      </c>
      <c r="H4951" s="10"/>
      <c r="I4951" s="10">
        <v>37.68</v>
      </c>
    </row>
    <row r="4952" spans="1:9" s="1" customFormat="1" ht="21.75" customHeight="1">
      <c r="A4952" s="8" t="s">
        <v>29</v>
      </c>
      <c r="B4952" s="8" t="s">
        <v>17</v>
      </c>
      <c r="C4952" s="9" t="str">
        <f t="shared" si="123"/>
        <v>230137</v>
      </c>
      <c r="D4952" s="9" t="str">
        <f>"230916528"</f>
        <v>230916528</v>
      </c>
      <c r="E4952" s="10">
        <v>0</v>
      </c>
      <c r="F4952" s="10"/>
      <c r="G4952" s="10">
        <v>0</v>
      </c>
      <c r="H4952" s="10"/>
      <c r="I4952" s="10">
        <v>0</v>
      </c>
    </row>
    <row r="4953" spans="1:9" s="1" customFormat="1" ht="21.75" customHeight="1">
      <c r="A4953" s="8" t="s">
        <v>29</v>
      </c>
      <c r="B4953" s="8" t="s">
        <v>17</v>
      </c>
      <c r="C4953" s="9" t="str">
        <f t="shared" si="123"/>
        <v>230137</v>
      </c>
      <c r="D4953" s="9" t="str">
        <f>"230916530"</f>
        <v>230916530</v>
      </c>
      <c r="E4953" s="10">
        <v>0</v>
      </c>
      <c r="F4953" s="10"/>
      <c r="G4953" s="10">
        <v>0</v>
      </c>
      <c r="H4953" s="10"/>
      <c r="I4953" s="10">
        <v>0</v>
      </c>
    </row>
    <row r="4954" spans="1:9" ht="21.75" customHeight="1">
      <c r="A4954" s="8" t="s">
        <v>29</v>
      </c>
      <c r="B4954" s="8" t="s">
        <v>17</v>
      </c>
      <c r="C4954" s="9" t="str">
        <f t="shared" si="123"/>
        <v>230137</v>
      </c>
      <c r="D4954" s="9" t="str">
        <f>"230916602"</f>
        <v>230916602</v>
      </c>
      <c r="E4954" s="10">
        <v>0</v>
      </c>
      <c r="F4954" s="10"/>
      <c r="G4954" s="10">
        <v>0</v>
      </c>
      <c r="H4954" s="10"/>
      <c r="I4954" s="10">
        <v>0</v>
      </c>
    </row>
    <row r="4955" spans="1:9" ht="21.75" customHeight="1">
      <c r="A4955" s="8" t="s">
        <v>29</v>
      </c>
      <c r="B4955" s="8" t="s">
        <v>17</v>
      </c>
      <c r="C4955" s="9" t="str">
        <f t="shared" si="123"/>
        <v>230137</v>
      </c>
      <c r="D4955" s="9" t="str">
        <f>"230916605"</f>
        <v>230916605</v>
      </c>
      <c r="E4955" s="10">
        <v>0</v>
      </c>
      <c r="F4955" s="10"/>
      <c r="G4955" s="10">
        <v>0</v>
      </c>
      <c r="H4955" s="10"/>
      <c r="I4955" s="10">
        <v>0</v>
      </c>
    </row>
    <row r="4956" spans="1:9" s="1" customFormat="1" ht="21.75" customHeight="1">
      <c r="A4956" s="8" t="s">
        <v>29</v>
      </c>
      <c r="B4956" s="8" t="s">
        <v>17</v>
      </c>
      <c r="C4956" s="9" t="str">
        <f t="shared" si="123"/>
        <v>230137</v>
      </c>
      <c r="D4956" s="9" t="str">
        <f>"230916608"</f>
        <v>230916608</v>
      </c>
      <c r="E4956" s="10">
        <v>0</v>
      </c>
      <c r="F4956" s="10"/>
      <c r="G4956" s="10">
        <v>0</v>
      </c>
      <c r="H4956" s="10"/>
      <c r="I4956" s="10">
        <v>0</v>
      </c>
    </row>
    <row r="4957" spans="1:9" ht="21.75" customHeight="1">
      <c r="A4957" s="8" t="s">
        <v>29</v>
      </c>
      <c r="B4957" s="8" t="s">
        <v>17</v>
      </c>
      <c r="C4957" s="9" t="str">
        <f t="shared" si="123"/>
        <v>230137</v>
      </c>
      <c r="D4957" s="9" t="str">
        <f>"230916609"</f>
        <v>230916609</v>
      </c>
      <c r="E4957" s="10">
        <v>0</v>
      </c>
      <c r="F4957" s="10"/>
      <c r="G4957" s="10">
        <v>0</v>
      </c>
      <c r="H4957" s="10"/>
      <c r="I4957" s="10">
        <v>0</v>
      </c>
    </row>
    <row r="4958" spans="1:9" ht="21.75" customHeight="1">
      <c r="A4958" s="8" t="s">
        <v>29</v>
      </c>
      <c r="B4958" s="8" t="s">
        <v>17</v>
      </c>
      <c r="C4958" s="9" t="str">
        <f t="shared" si="123"/>
        <v>230137</v>
      </c>
      <c r="D4958" s="9" t="str">
        <f>"230916612"</f>
        <v>230916612</v>
      </c>
      <c r="E4958" s="10">
        <v>0</v>
      </c>
      <c r="F4958" s="10"/>
      <c r="G4958" s="10">
        <v>0</v>
      </c>
      <c r="H4958" s="10"/>
      <c r="I4958" s="10">
        <v>0</v>
      </c>
    </row>
    <row r="4959" spans="1:9" s="1" customFormat="1" ht="21.75" customHeight="1">
      <c r="A4959" s="8" t="s">
        <v>29</v>
      </c>
      <c r="B4959" s="8" t="s">
        <v>17</v>
      </c>
      <c r="C4959" s="9" t="str">
        <f t="shared" si="123"/>
        <v>230137</v>
      </c>
      <c r="D4959" s="9" t="str">
        <f>"230916616"</f>
        <v>230916616</v>
      </c>
      <c r="E4959" s="10">
        <v>0</v>
      </c>
      <c r="F4959" s="10"/>
      <c r="G4959" s="10">
        <v>0</v>
      </c>
      <c r="H4959" s="10"/>
      <c r="I4959" s="10">
        <v>0</v>
      </c>
    </row>
    <row r="4960" spans="1:9" s="1" customFormat="1" ht="21.75" customHeight="1">
      <c r="A4960" s="8" t="s">
        <v>29</v>
      </c>
      <c r="B4960" s="8" t="s">
        <v>17</v>
      </c>
      <c r="C4960" s="9" t="str">
        <f t="shared" si="123"/>
        <v>230137</v>
      </c>
      <c r="D4960" s="9" t="str">
        <f>"230916620"</f>
        <v>230916620</v>
      </c>
      <c r="E4960" s="10">
        <v>0</v>
      </c>
      <c r="F4960" s="10"/>
      <c r="G4960" s="10">
        <v>0</v>
      </c>
      <c r="H4960" s="10"/>
      <c r="I4960" s="10">
        <v>0</v>
      </c>
    </row>
    <row r="4961" spans="1:9" ht="21.75" customHeight="1">
      <c r="A4961" s="8" t="s">
        <v>29</v>
      </c>
      <c r="B4961" s="8" t="s">
        <v>17</v>
      </c>
      <c r="C4961" s="9" t="str">
        <f t="shared" si="123"/>
        <v>230137</v>
      </c>
      <c r="D4961" s="9" t="str">
        <f>"230916623"</f>
        <v>230916623</v>
      </c>
      <c r="E4961" s="10">
        <v>0</v>
      </c>
      <c r="F4961" s="10"/>
      <c r="G4961" s="10">
        <v>0</v>
      </c>
      <c r="H4961" s="10"/>
      <c r="I4961" s="10">
        <v>0</v>
      </c>
    </row>
    <row r="4962" spans="1:9" ht="21.75" customHeight="1">
      <c r="A4962" s="8" t="s">
        <v>29</v>
      </c>
      <c r="B4962" s="8" t="s">
        <v>17</v>
      </c>
      <c r="C4962" s="9" t="str">
        <f t="shared" si="123"/>
        <v>230137</v>
      </c>
      <c r="D4962" s="9" t="str">
        <f>"230916624"</f>
        <v>230916624</v>
      </c>
      <c r="E4962" s="10">
        <v>0</v>
      </c>
      <c r="F4962" s="10"/>
      <c r="G4962" s="10">
        <v>0</v>
      </c>
      <c r="H4962" s="10"/>
      <c r="I4962" s="10">
        <v>0</v>
      </c>
    </row>
    <row r="4963" spans="1:9" ht="21.75" customHeight="1">
      <c r="A4963" s="8" t="s">
        <v>29</v>
      </c>
      <c r="B4963" s="8" t="s">
        <v>17</v>
      </c>
      <c r="C4963" s="9" t="str">
        <f t="shared" si="123"/>
        <v>230137</v>
      </c>
      <c r="D4963" s="9" t="str">
        <f>"230916627"</f>
        <v>230916627</v>
      </c>
      <c r="E4963" s="10">
        <v>0</v>
      </c>
      <c r="F4963" s="10"/>
      <c r="G4963" s="10">
        <v>0</v>
      </c>
      <c r="H4963" s="10"/>
      <c r="I4963" s="10">
        <v>0</v>
      </c>
    </row>
    <row r="4964" spans="1:9" s="1" customFormat="1" ht="21.75" customHeight="1">
      <c r="A4964" s="8" t="s">
        <v>29</v>
      </c>
      <c r="B4964" s="8" t="s">
        <v>17</v>
      </c>
      <c r="C4964" s="9" t="str">
        <f t="shared" si="123"/>
        <v>230137</v>
      </c>
      <c r="D4964" s="9" t="str">
        <f>"230916629"</f>
        <v>230916629</v>
      </c>
      <c r="E4964" s="10">
        <v>0</v>
      </c>
      <c r="F4964" s="10"/>
      <c r="G4964" s="10">
        <v>0</v>
      </c>
      <c r="H4964" s="10"/>
      <c r="I4964" s="10">
        <v>0</v>
      </c>
    </row>
    <row r="4965" spans="1:9" ht="21.75" customHeight="1">
      <c r="A4965" s="8" t="s">
        <v>29</v>
      </c>
      <c r="B4965" s="8" t="s">
        <v>17</v>
      </c>
      <c r="C4965" s="9" t="str">
        <f t="shared" si="123"/>
        <v>230137</v>
      </c>
      <c r="D4965" s="9" t="str">
        <f>"230916706"</f>
        <v>230916706</v>
      </c>
      <c r="E4965" s="10">
        <v>0</v>
      </c>
      <c r="F4965" s="10"/>
      <c r="G4965" s="10">
        <v>0</v>
      </c>
      <c r="H4965" s="10"/>
      <c r="I4965" s="10">
        <v>0</v>
      </c>
    </row>
    <row r="4966" spans="1:9" s="2" customFormat="1" ht="21.75" customHeight="1">
      <c r="A4966" s="8" t="s">
        <v>30</v>
      </c>
      <c r="B4966" s="8" t="s">
        <v>15</v>
      </c>
      <c r="C4966" s="9" t="str">
        <f t="shared" ref="C4966:C4997" si="124">"230138"</f>
        <v>230138</v>
      </c>
      <c r="D4966" s="9" t="str">
        <f>"230910918"</f>
        <v>230910918</v>
      </c>
      <c r="E4966" s="10">
        <v>83.89</v>
      </c>
      <c r="F4966" s="10"/>
      <c r="G4966" s="10">
        <v>74.5</v>
      </c>
      <c r="H4966" s="10"/>
      <c r="I4966" s="10">
        <v>78.260000000000005</v>
      </c>
    </row>
    <row r="4967" spans="1:9" s="3" customFormat="1" ht="21.75" customHeight="1">
      <c r="A4967" s="8" t="s">
        <v>30</v>
      </c>
      <c r="B4967" s="8" t="s">
        <v>15</v>
      </c>
      <c r="C4967" s="9" t="str">
        <f t="shared" si="124"/>
        <v>230138</v>
      </c>
      <c r="D4967" s="9" t="str">
        <f>"230910910"</f>
        <v>230910910</v>
      </c>
      <c r="E4967" s="10">
        <v>76.2</v>
      </c>
      <c r="F4967" s="10"/>
      <c r="G4967" s="10">
        <v>79</v>
      </c>
      <c r="H4967" s="10"/>
      <c r="I4967" s="10">
        <v>77.88</v>
      </c>
    </row>
    <row r="4968" spans="1:9" s="3" customFormat="1" ht="21.75" customHeight="1">
      <c r="A4968" s="8" t="s">
        <v>30</v>
      </c>
      <c r="B4968" s="8" t="s">
        <v>15</v>
      </c>
      <c r="C4968" s="9" t="str">
        <f t="shared" si="124"/>
        <v>230138</v>
      </c>
      <c r="D4968" s="9" t="str">
        <f>"230910907"</f>
        <v>230910907</v>
      </c>
      <c r="E4968" s="10">
        <v>77.22</v>
      </c>
      <c r="F4968" s="10"/>
      <c r="G4968" s="10">
        <v>76</v>
      </c>
      <c r="H4968" s="10"/>
      <c r="I4968" s="10">
        <v>76.489999999999995</v>
      </c>
    </row>
    <row r="4969" spans="1:9" s="2" customFormat="1" ht="21.75" customHeight="1">
      <c r="A4969" s="8" t="s">
        <v>30</v>
      </c>
      <c r="B4969" s="8" t="s">
        <v>15</v>
      </c>
      <c r="C4969" s="9" t="str">
        <f t="shared" si="124"/>
        <v>230138</v>
      </c>
      <c r="D4969" s="9" t="str">
        <f>"230911020"</f>
        <v>230911020</v>
      </c>
      <c r="E4969" s="10">
        <v>74.23</v>
      </c>
      <c r="F4969" s="10"/>
      <c r="G4969" s="10">
        <v>73.5</v>
      </c>
      <c r="H4969" s="10"/>
      <c r="I4969" s="10">
        <v>73.790000000000006</v>
      </c>
    </row>
    <row r="4970" spans="1:9" s="2" customFormat="1" ht="21.75" customHeight="1">
      <c r="A4970" s="8" t="s">
        <v>30</v>
      </c>
      <c r="B4970" s="8" t="s">
        <v>15</v>
      </c>
      <c r="C4970" s="9" t="str">
        <f t="shared" si="124"/>
        <v>230138</v>
      </c>
      <c r="D4970" s="9" t="str">
        <f>"230911016"</f>
        <v>230911016</v>
      </c>
      <c r="E4970" s="10">
        <v>72.16</v>
      </c>
      <c r="F4970" s="10"/>
      <c r="G4970" s="10">
        <v>73</v>
      </c>
      <c r="H4970" s="10"/>
      <c r="I4970" s="10">
        <v>72.66</v>
      </c>
    </row>
    <row r="4971" spans="1:9" s="3" customFormat="1" ht="21.75" customHeight="1">
      <c r="A4971" s="8" t="s">
        <v>30</v>
      </c>
      <c r="B4971" s="8" t="s">
        <v>15</v>
      </c>
      <c r="C4971" s="9" t="str">
        <f t="shared" si="124"/>
        <v>230138</v>
      </c>
      <c r="D4971" s="9" t="str">
        <f>"230911012"</f>
        <v>230911012</v>
      </c>
      <c r="E4971" s="10">
        <v>73.31</v>
      </c>
      <c r="F4971" s="10"/>
      <c r="G4971" s="10">
        <v>71.5</v>
      </c>
      <c r="H4971" s="10"/>
      <c r="I4971" s="10">
        <v>72.22</v>
      </c>
    </row>
    <row r="4972" spans="1:9" s="2" customFormat="1" ht="21.75" customHeight="1">
      <c r="A4972" s="8" t="s">
        <v>30</v>
      </c>
      <c r="B4972" s="8" t="s">
        <v>15</v>
      </c>
      <c r="C4972" s="9" t="str">
        <f t="shared" si="124"/>
        <v>230138</v>
      </c>
      <c r="D4972" s="9" t="str">
        <f>"230911022"</f>
        <v>230911022</v>
      </c>
      <c r="E4972" s="10">
        <v>70.34</v>
      </c>
      <c r="F4972" s="10"/>
      <c r="G4972" s="10">
        <v>72.5</v>
      </c>
      <c r="H4972" s="10"/>
      <c r="I4972" s="10">
        <v>71.64</v>
      </c>
    </row>
    <row r="4973" spans="1:9" s="3" customFormat="1" ht="21.75" customHeight="1">
      <c r="A4973" s="8" t="s">
        <v>30</v>
      </c>
      <c r="B4973" s="8" t="s">
        <v>15</v>
      </c>
      <c r="C4973" s="9" t="str">
        <f t="shared" si="124"/>
        <v>230138</v>
      </c>
      <c r="D4973" s="9" t="str">
        <f>"230911005"</f>
        <v>230911005</v>
      </c>
      <c r="E4973" s="10">
        <v>68.83</v>
      </c>
      <c r="F4973" s="10"/>
      <c r="G4973" s="10">
        <v>73.5</v>
      </c>
      <c r="H4973" s="10"/>
      <c r="I4973" s="10">
        <v>71.63</v>
      </c>
    </row>
    <row r="4974" spans="1:9" s="2" customFormat="1" ht="21.75" customHeight="1">
      <c r="A4974" s="8" t="s">
        <v>30</v>
      </c>
      <c r="B4974" s="8" t="s">
        <v>15</v>
      </c>
      <c r="C4974" s="9" t="str">
        <f t="shared" si="124"/>
        <v>230138</v>
      </c>
      <c r="D4974" s="9" t="str">
        <f>"230910922"</f>
        <v>230910922</v>
      </c>
      <c r="E4974" s="10">
        <v>73.89</v>
      </c>
      <c r="F4974" s="10"/>
      <c r="G4974" s="10">
        <v>69.5</v>
      </c>
      <c r="H4974" s="10"/>
      <c r="I4974" s="10">
        <v>71.260000000000005</v>
      </c>
    </row>
    <row r="4975" spans="1:9" s="2" customFormat="1" ht="21.75" customHeight="1">
      <c r="A4975" s="8" t="s">
        <v>30</v>
      </c>
      <c r="B4975" s="8" t="s">
        <v>15</v>
      </c>
      <c r="C4975" s="9" t="str">
        <f t="shared" si="124"/>
        <v>230138</v>
      </c>
      <c r="D4975" s="9" t="str">
        <f>"230910923"</f>
        <v>230910923</v>
      </c>
      <c r="E4975" s="10">
        <v>70.540000000000006</v>
      </c>
      <c r="F4975" s="10"/>
      <c r="G4975" s="10">
        <v>71.5</v>
      </c>
      <c r="H4975" s="10"/>
      <c r="I4975" s="10">
        <v>71.12</v>
      </c>
    </row>
    <row r="4976" spans="1:9" s="2" customFormat="1" ht="21.75" customHeight="1">
      <c r="A4976" s="8" t="s">
        <v>30</v>
      </c>
      <c r="B4976" s="8" t="s">
        <v>15</v>
      </c>
      <c r="C4976" s="9" t="str">
        <f t="shared" si="124"/>
        <v>230138</v>
      </c>
      <c r="D4976" s="9" t="str">
        <f>"230911023"</f>
        <v>230911023</v>
      </c>
      <c r="E4976" s="10">
        <v>64.22</v>
      </c>
      <c r="F4976" s="10"/>
      <c r="G4976" s="10">
        <v>75</v>
      </c>
      <c r="H4976" s="10"/>
      <c r="I4976" s="10">
        <v>70.69</v>
      </c>
    </row>
    <row r="4977" spans="1:9" s="2" customFormat="1" ht="21.75" customHeight="1">
      <c r="A4977" s="8" t="s">
        <v>30</v>
      </c>
      <c r="B4977" s="8" t="s">
        <v>15</v>
      </c>
      <c r="C4977" s="9" t="str">
        <f t="shared" si="124"/>
        <v>230138</v>
      </c>
      <c r="D4977" s="9" t="str">
        <f>"230910913"</f>
        <v>230910913</v>
      </c>
      <c r="E4977" s="10">
        <v>72.97</v>
      </c>
      <c r="F4977" s="10"/>
      <c r="G4977" s="10">
        <v>69</v>
      </c>
      <c r="H4977" s="10"/>
      <c r="I4977" s="10">
        <v>70.59</v>
      </c>
    </row>
    <row r="4978" spans="1:9" s="2" customFormat="1" ht="21.75" customHeight="1">
      <c r="A4978" s="8" t="s">
        <v>30</v>
      </c>
      <c r="B4978" s="8" t="s">
        <v>15</v>
      </c>
      <c r="C4978" s="9" t="str">
        <f t="shared" si="124"/>
        <v>230138</v>
      </c>
      <c r="D4978" s="9" t="str">
        <f>"230911015"</f>
        <v>230911015</v>
      </c>
      <c r="E4978" s="10">
        <v>68.58</v>
      </c>
      <c r="F4978" s="10"/>
      <c r="G4978" s="10">
        <v>71</v>
      </c>
      <c r="H4978" s="10"/>
      <c r="I4978" s="10">
        <v>70.03</v>
      </c>
    </row>
    <row r="4979" spans="1:9" s="3" customFormat="1" ht="21.75" customHeight="1">
      <c r="A4979" s="8" t="s">
        <v>30</v>
      </c>
      <c r="B4979" s="8" t="s">
        <v>15</v>
      </c>
      <c r="C4979" s="9" t="str">
        <f t="shared" si="124"/>
        <v>230138</v>
      </c>
      <c r="D4979" s="9" t="str">
        <f>"230911001"</f>
        <v>230911001</v>
      </c>
      <c r="E4979" s="10">
        <v>71.48</v>
      </c>
      <c r="F4979" s="10"/>
      <c r="G4979" s="10">
        <v>69</v>
      </c>
      <c r="H4979" s="10"/>
      <c r="I4979" s="10">
        <v>69.989999999999995</v>
      </c>
    </row>
    <row r="4980" spans="1:9" s="3" customFormat="1" ht="21.75" customHeight="1">
      <c r="A4980" s="8" t="s">
        <v>30</v>
      </c>
      <c r="B4980" s="8" t="s">
        <v>15</v>
      </c>
      <c r="C4980" s="9" t="str">
        <f t="shared" si="124"/>
        <v>230138</v>
      </c>
      <c r="D4980" s="9" t="str">
        <f>"230910903"</f>
        <v>230910903</v>
      </c>
      <c r="E4980" s="10">
        <v>70.66</v>
      </c>
      <c r="F4980" s="10"/>
      <c r="G4980" s="10">
        <v>69</v>
      </c>
      <c r="H4980" s="10"/>
      <c r="I4980" s="10">
        <v>69.66</v>
      </c>
    </row>
    <row r="4981" spans="1:9" s="3" customFormat="1" ht="21.75" customHeight="1">
      <c r="A4981" s="8" t="s">
        <v>30</v>
      </c>
      <c r="B4981" s="8" t="s">
        <v>15</v>
      </c>
      <c r="C4981" s="9" t="str">
        <f t="shared" si="124"/>
        <v>230138</v>
      </c>
      <c r="D4981" s="9" t="str">
        <f>"230910906"</f>
        <v>230910906</v>
      </c>
      <c r="E4981" s="10">
        <v>66.64</v>
      </c>
      <c r="F4981" s="10"/>
      <c r="G4981" s="10">
        <v>71</v>
      </c>
      <c r="H4981" s="10"/>
      <c r="I4981" s="10">
        <v>69.260000000000005</v>
      </c>
    </row>
    <row r="4982" spans="1:9" s="2" customFormat="1" ht="21.75" customHeight="1">
      <c r="A4982" s="8" t="s">
        <v>30</v>
      </c>
      <c r="B4982" s="8" t="s">
        <v>15</v>
      </c>
      <c r="C4982" s="9" t="str">
        <f t="shared" si="124"/>
        <v>230138</v>
      </c>
      <c r="D4982" s="9" t="str">
        <f>"230911028"</f>
        <v>230911028</v>
      </c>
      <c r="E4982" s="10">
        <v>67.209999999999994</v>
      </c>
      <c r="F4982" s="10"/>
      <c r="G4982" s="10">
        <v>70.5</v>
      </c>
      <c r="H4982" s="10"/>
      <c r="I4982" s="10">
        <v>69.180000000000007</v>
      </c>
    </row>
    <row r="4983" spans="1:9" s="2" customFormat="1" ht="21.75" customHeight="1">
      <c r="A4983" s="8" t="s">
        <v>30</v>
      </c>
      <c r="B4983" s="8" t="s">
        <v>15</v>
      </c>
      <c r="C4983" s="9" t="str">
        <f t="shared" si="124"/>
        <v>230138</v>
      </c>
      <c r="D4983" s="9" t="str">
        <f>"230911024"</f>
        <v>230911024</v>
      </c>
      <c r="E4983" s="10">
        <v>62.29</v>
      </c>
      <c r="F4983" s="10"/>
      <c r="G4983" s="10">
        <v>73.5</v>
      </c>
      <c r="H4983" s="10"/>
      <c r="I4983" s="10">
        <v>69.02</v>
      </c>
    </row>
    <row r="4984" spans="1:9" s="2" customFormat="1" ht="21.75" customHeight="1">
      <c r="A4984" s="8" t="s">
        <v>30</v>
      </c>
      <c r="B4984" s="8" t="s">
        <v>15</v>
      </c>
      <c r="C4984" s="9" t="str">
        <f t="shared" si="124"/>
        <v>230138</v>
      </c>
      <c r="D4984" s="9" t="str">
        <f>"230910902"</f>
        <v>230910902</v>
      </c>
      <c r="E4984" s="10">
        <v>71.95</v>
      </c>
      <c r="F4984" s="10"/>
      <c r="G4984" s="10">
        <v>67</v>
      </c>
      <c r="H4984" s="10"/>
      <c r="I4984" s="10">
        <v>68.98</v>
      </c>
    </row>
    <row r="4985" spans="1:9" s="3" customFormat="1" ht="21.75" customHeight="1">
      <c r="A4985" s="8" t="s">
        <v>30</v>
      </c>
      <c r="B4985" s="8" t="s">
        <v>15</v>
      </c>
      <c r="C4985" s="9" t="str">
        <f t="shared" si="124"/>
        <v>230138</v>
      </c>
      <c r="D4985" s="9" t="str">
        <f>"230911021"</f>
        <v>230911021</v>
      </c>
      <c r="E4985" s="10">
        <v>65.03</v>
      </c>
      <c r="F4985" s="10"/>
      <c r="G4985" s="10">
        <v>70.5</v>
      </c>
      <c r="H4985" s="10"/>
      <c r="I4985" s="10">
        <v>68.31</v>
      </c>
    </row>
    <row r="4986" spans="1:9" s="3" customFormat="1" ht="21.75" customHeight="1">
      <c r="A4986" s="8" t="s">
        <v>30</v>
      </c>
      <c r="B4986" s="8" t="s">
        <v>15</v>
      </c>
      <c r="C4986" s="9" t="str">
        <f t="shared" si="124"/>
        <v>230138</v>
      </c>
      <c r="D4986" s="9" t="str">
        <f>"230910912"</f>
        <v>230910912</v>
      </c>
      <c r="E4986" s="10">
        <v>69.28</v>
      </c>
      <c r="F4986" s="10"/>
      <c r="G4986" s="10">
        <v>67.5</v>
      </c>
      <c r="H4986" s="10"/>
      <c r="I4986" s="10">
        <v>68.209999999999994</v>
      </c>
    </row>
    <row r="4987" spans="1:9" s="2" customFormat="1" ht="21.75" customHeight="1">
      <c r="A4987" s="8" t="s">
        <v>30</v>
      </c>
      <c r="B4987" s="8" t="s">
        <v>15</v>
      </c>
      <c r="C4987" s="9" t="str">
        <f t="shared" si="124"/>
        <v>230138</v>
      </c>
      <c r="D4987" s="9" t="str">
        <f>"230911014"</f>
        <v>230911014</v>
      </c>
      <c r="E4987" s="10">
        <v>72.73</v>
      </c>
      <c r="F4987" s="10"/>
      <c r="G4987" s="10">
        <v>65</v>
      </c>
      <c r="H4987" s="10"/>
      <c r="I4987" s="10">
        <v>68.09</v>
      </c>
    </row>
    <row r="4988" spans="1:9" s="2" customFormat="1" ht="21.75" customHeight="1">
      <c r="A4988" s="8" t="s">
        <v>30</v>
      </c>
      <c r="B4988" s="8" t="s">
        <v>15</v>
      </c>
      <c r="C4988" s="9" t="str">
        <f t="shared" si="124"/>
        <v>230138</v>
      </c>
      <c r="D4988" s="9" t="str">
        <f>"230910908"</f>
        <v>230910908</v>
      </c>
      <c r="E4988" s="10">
        <v>65.150000000000006</v>
      </c>
      <c r="F4988" s="10"/>
      <c r="G4988" s="10">
        <v>70</v>
      </c>
      <c r="H4988" s="10"/>
      <c r="I4988" s="10">
        <v>68.06</v>
      </c>
    </row>
    <row r="4989" spans="1:9" s="2" customFormat="1" ht="21.75" customHeight="1">
      <c r="A4989" s="8" t="s">
        <v>30</v>
      </c>
      <c r="B4989" s="8" t="s">
        <v>15</v>
      </c>
      <c r="C4989" s="9" t="str">
        <f t="shared" si="124"/>
        <v>230138</v>
      </c>
      <c r="D4989" s="9" t="str">
        <f>"230910909"</f>
        <v>230910909</v>
      </c>
      <c r="E4989" s="10">
        <v>70.790000000000006</v>
      </c>
      <c r="F4989" s="10"/>
      <c r="G4989" s="10">
        <v>65.5</v>
      </c>
      <c r="H4989" s="10"/>
      <c r="I4989" s="10">
        <v>67.62</v>
      </c>
    </row>
    <row r="4990" spans="1:9" s="2" customFormat="1" ht="21.75" customHeight="1">
      <c r="A4990" s="8" t="s">
        <v>30</v>
      </c>
      <c r="B4990" s="8" t="s">
        <v>15</v>
      </c>
      <c r="C4990" s="9" t="str">
        <f t="shared" si="124"/>
        <v>230138</v>
      </c>
      <c r="D4990" s="9" t="str">
        <f>"230911007"</f>
        <v>230911007</v>
      </c>
      <c r="E4990" s="10">
        <v>69.17</v>
      </c>
      <c r="F4990" s="10"/>
      <c r="G4990" s="10">
        <v>66.5</v>
      </c>
      <c r="H4990" s="10"/>
      <c r="I4990" s="10">
        <v>67.569999999999993</v>
      </c>
    </row>
    <row r="4991" spans="1:9" s="2" customFormat="1" ht="21.75" customHeight="1">
      <c r="A4991" s="8" t="s">
        <v>30</v>
      </c>
      <c r="B4991" s="8" t="s">
        <v>15</v>
      </c>
      <c r="C4991" s="9" t="str">
        <f t="shared" si="124"/>
        <v>230138</v>
      </c>
      <c r="D4991" s="9" t="str">
        <f>"230911017"</f>
        <v>230911017</v>
      </c>
      <c r="E4991" s="10">
        <v>71.8</v>
      </c>
      <c r="F4991" s="10"/>
      <c r="G4991" s="10">
        <v>64.5</v>
      </c>
      <c r="H4991" s="10"/>
      <c r="I4991" s="10">
        <v>67.42</v>
      </c>
    </row>
    <row r="4992" spans="1:9" s="2" customFormat="1" ht="21.75" customHeight="1">
      <c r="A4992" s="8" t="s">
        <v>30</v>
      </c>
      <c r="B4992" s="8" t="s">
        <v>15</v>
      </c>
      <c r="C4992" s="9" t="str">
        <f t="shared" si="124"/>
        <v>230138</v>
      </c>
      <c r="D4992" s="9" t="str">
        <f>"230910919"</f>
        <v>230910919</v>
      </c>
      <c r="E4992" s="10">
        <v>57.21</v>
      </c>
      <c r="F4992" s="10"/>
      <c r="G4992" s="10">
        <v>74</v>
      </c>
      <c r="H4992" s="10"/>
      <c r="I4992" s="10">
        <v>67.28</v>
      </c>
    </row>
    <row r="4993" spans="1:9" s="2" customFormat="1" ht="21.75" customHeight="1">
      <c r="A4993" s="8" t="s">
        <v>30</v>
      </c>
      <c r="B4993" s="8" t="s">
        <v>15</v>
      </c>
      <c r="C4993" s="9" t="str">
        <f t="shared" si="124"/>
        <v>230138</v>
      </c>
      <c r="D4993" s="9" t="str">
        <f>"230910930"</f>
        <v>230910930</v>
      </c>
      <c r="E4993" s="10">
        <v>69.41</v>
      </c>
      <c r="F4993" s="10"/>
      <c r="G4993" s="10">
        <v>65.5</v>
      </c>
      <c r="H4993" s="10"/>
      <c r="I4993" s="10">
        <v>67.06</v>
      </c>
    </row>
    <row r="4994" spans="1:9" s="2" customFormat="1" ht="21.75" customHeight="1">
      <c r="A4994" s="8" t="s">
        <v>30</v>
      </c>
      <c r="B4994" s="8" t="s">
        <v>15</v>
      </c>
      <c r="C4994" s="9" t="str">
        <f t="shared" si="124"/>
        <v>230138</v>
      </c>
      <c r="D4994" s="9" t="str">
        <f>"230911003"</f>
        <v>230911003</v>
      </c>
      <c r="E4994" s="10">
        <v>54.8</v>
      </c>
      <c r="F4994" s="10"/>
      <c r="G4994" s="10">
        <v>75</v>
      </c>
      <c r="H4994" s="10"/>
      <c r="I4994" s="10">
        <v>66.92</v>
      </c>
    </row>
    <row r="4995" spans="1:9" s="2" customFormat="1" ht="21.75" customHeight="1">
      <c r="A4995" s="8" t="s">
        <v>30</v>
      </c>
      <c r="B4995" s="8" t="s">
        <v>15</v>
      </c>
      <c r="C4995" s="9" t="str">
        <f t="shared" si="124"/>
        <v>230138</v>
      </c>
      <c r="D4995" s="9" t="str">
        <f>"230910905"</f>
        <v>230910905</v>
      </c>
      <c r="E4995" s="10">
        <v>65.150000000000006</v>
      </c>
      <c r="F4995" s="10"/>
      <c r="G4995" s="10">
        <v>68</v>
      </c>
      <c r="H4995" s="10"/>
      <c r="I4995" s="10">
        <v>66.86</v>
      </c>
    </row>
    <row r="4996" spans="1:9" s="2" customFormat="1" ht="21.75" customHeight="1">
      <c r="A4996" s="8" t="s">
        <v>30</v>
      </c>
      <c r="B4996" s="8" t="s">
        <v>15</v>
      </c>
      <c r="C4996" s="9" t="str">
        <f t="shared" si="124"/>
        <v>230138</v>
      </c>
      <c r="D4996" s="9" t="str">
        <f>"230910927"</f>
        <v>230910927</v>
      </c>
      <c r="E4996" s="10">
        <v>61.81</v>
      </c>
      <c r="F4996" s="10"/>
      <c r="G4996" s="10">
        <v>70</v>
      </c>
      <c r="H4996" s="10"/>
      <c r="I4996" s="10">
        <v>66.72</v>
      </c>
    </row>
    <row r="4997" spans="1:9" s="3" customFormat="1" ht="21.75" customHeight="1">
      <c r="A4997" s="8" t="s">
        <v>30</v>
      </c>
      <c r="B4997" s="8" t="s">
        <v>15</v>
      </c>
      <c r="C4997" s="9" t="str">
        <f t="shared" si="124"/>
        <v>230138</v>
      </c>
      <c r="D4997" s="9" t="str">
        <f>"230911011"</f>
        <v>230911011</v>
      </c>
      <c r="E4997" s="10">
        <v>64.45</v>
      </c>
      <c r="F4997" s="10"/>
      <c r="G4997" s="10">
        <v>68</v>
      </c>
      <c r="H4997" s="10"/>
      <c r="I4997" s="10">
        <v>66.58</v>
      </c>
    </row>
    <row r="4998" spans="1:9" s="2" customFormat="1" ht="21.75" customHeight="1">
      <c r="A4998" s="8" t="s">
        <v>30</v>
      </c>
      <c r="B4998" s="8" t="s">
        <v>15</v>
      </c>
      <c r="C4998" s="9" t="str">
        <f t="shared" ref="C4998:C5024" si="125">"230138"</f>
        <v>230138</v>
      </c>
      <c r="D4998" s="9" t="str">
        <f>"230911027"</f>
        <v>230911027</v>
      </c>
      <c r="E4998" s="10">
        <v>65.489999999999995</v>
      </c>
      <c r="F4998" s="10"/>
      <c r="G4998" s="10">
        <v>67</v>
      </c>
      <c r="H4998" s="10"/>
      <c r="I4998" s="10">
        <v>66.400000000000006</v>
      </c>
    </row>
    <row r="4999" spans="1:9" s="3" customFormat="1" ht="21.75" customHeight="1">
      <c r="A4999" s="8" t="s">
        <v>30</v>
      </c>
      <c r="B4999" s="8" t="s">
        <v>15</v>
      </c>
      <c r="C4999" s="9" t="str">
        <f t="shared" si="125"/>
        <v>230138</v>
      </c>
      <c r="D4999" s="9" t="str">
        <f>"230910915"</f>
        <v>230910915</v>
      </c>
      <c r="E4999" s="10">
        <v>64.59</v>
      </c>
      <c r="F4999" s="10"/>
      <c r="G4999" s="10">
        <v>66.5</v>
      </c>
      <c r="H4999" s="10"/>
      <c r="I4999" s="10">
        <v>65.739999999999995</v>
      </c>
    </row>
    <row r="5000" spans="1:9" s="2" customFormat="1" ht="21.75" customHeight="1">
      <c r="A5000" s="8" t="s">
        <v>30</v>
      </c>
      <c r="B5000" s="8" t="s">
        <v>15</v>
      </c>
      <c r="C5000" s="9" t="str">
        <f t="shared" si="125"/>
        <v>230138</v>
      </c>
      <c r="D5000" s="9" t="str">
        <f>"230910917"</f>
        <v>230910917</v>
      </c>
      <c r="E5000" s="10">
        <v>65.02</v>
      </c>
      <c r="F5000" s="10"/>
      <c r="G5000" s="10">
        <v>66</v>
      </c>
      <c r="H5000" s="10"/>
      <c r="I5000" s="10">
        <v>65.61</v>
      </c>
    </row>
    <row r="5001" spans="1:9" s="3" customFormat="1" ht="21.75" customHeight="1">
      <c r="A5001" s="8" t="s">
        <v>30</v>
      </c>
      <c r="B5001" s="8" t="s">
        <v>15</v>
      </c>
      <c r="C5001" s="9" t="str">
        <f t="shared" si="125"/>
        <v>230138</v>
      </c>
      <c r="D5001" s="9" t="str">
        <f>"230911010"</f>
        <v>230911010</v>
      </c>
      <c r="E5001" s="10">
        <v>60.1</v>
      </c>
      <c r="F5001" s="10"/>
      <c r="G5001" s="10">
        <v>68.5</v>
      </c>
      <c r="H5001" s="10"/>
      <c r="I5001" s="10">
        <v>65.14</v>
      </c>
    </row>
    <row r="5002" spans="1:9" s="2" customFormat="1" ht="21.75" customHeight="1">
      <c r="A5002" s="8" t="s">
        <v>30</v>
      </c>
      <c r="B5002" s="8" t="s">
        <v>15</v>
      </c>
      <c r="C5002" s="9" t="str">
        <f t="shared" si="125"/>
        <v>230138</v>
      </c>
      <c r="D5002" s="9" t="str">
        <f>"230910929"</f>
        <v>230910929</v>
      </c>
      <c r="E5002" s="10">
        <v>61.68</v>
      </c>
      <c r="F5002" s="10"/>
      <c r="G5002" s="10">
        <v>67</v>
      </c>
      <c r="H5002" s="10"/>
      <c r="I5002" s="10">
        <v>64.87</v>
      </c>
    </row>
    <row r="5003" spans="1:9" s="2" customFormat="1" ht="21.75" customHeight="1">
      <c r="A5003" s="8" t="s">
        <v>30</v>
      </c>
      <c r="B5003" s="8" t="s">
        <v>15</v>
      </c>
      <c r="C5003" s="9" t="str">
        <f t="shared" si="125"/>
        <v>230138</v>
      </c>
      <c r="D5003" s="9" t="str">
        <f>"230910916"</f>
        <v>230910916</v>
      </c>
      <c r="E5003" s="10">
        <v>62.39</v>
      </c>
      <c r="F5003" s="10"/>
      <c r="G5003" s="10">
        <v>62.5</v>
      </c>
      <c r="H5003" s="10"/>
      <c r="I5003" s="10">
        <v>62.46</v>
      </c>
    </row>
    <row r="5004" spans="1:9" s="2" customFormat="1" ht="21.75" customHeight="1">
      <c r="A5004" s="8" t="s">
        <v>30</v>
      </c>
      <c r="B5004" s="8" t="s">
        <v>15</v>
      </c>
      <c r="C5004" s="9" t="str">
        <f t="shared" si="125"/>
        <v>230138</v>
      </c>
      <c r="D5004" s="9" t="str">
        <f>"230910904"</f>
        <v>230910904</v>
      </c>
      <c r="E5004" s="10">
        <v>51.92</v>
      </c>
      <c r="F5004" s="10"/>
      <c r="G5004" s="10">
        <v>68</v>
      </c>
      <c r="H5004" s="10"/>
      <c r="I5004" s="10">
        <v>61.57</v>
      </c>
    </row>
    <row r="5005" spans="1:9" s="3" customFormat="1" ht="21.75" customHeight="1">
      <c r="A5005" s="8" t="s">
        <v>30</v>
      </c>
      <c r="B5005" s="8" t="s">
        <v>15</v>
      </c>
      <c r="C5005" s="9" t="str">
        <f t="shared" si="125"/>
        <v>230138</v>
      </c>
      <c r="D5005" s="9" t="str">
        <f>"230911013"</f>
        <v>230911013</v>
      </c>
      <c r="E5005" s="10">
        <v>47.94</v>
      </c>
      <c r="F5005" s="10"/>
      <c r="G5005" s="10">
        <v>69.5</v>
      </c>
      <c r="H5005" s="10"/>
      <c r="I5005" s="10">
        <v>60.88</v>
      </c>
    </row>
    <row r="5006" spans="1:9" s="2" customFormat="1" ht="21.75" customHeight="1">
      <c r="A5006" s="8" t="s">
        <v>30</v>
      </c>
      <c r="B5006" s="8" t="s">
        <v>15</v>
      </c>
      <c r="C5006" s="9" t="str">
        <f t="shared" si="125"/>
        <v>230138</v>
      </c>
      <c r="D5006" s="9" t="str">
        <f>"230911026"</f>
        <v>230911026</v>
      </c>
      <c r="E5006" s="10">
        <v>58.01</v>
      </c>
      <c r="F5006" s="10"/>
      <c r="G5006" s="10">
        <v>42.5</v>
      </c>
      <c r="H5006" s="10"/>
      <c r="I5006" s="10">
        <v>48.7</v>
      </c>
    </row>
    <row r="5007" spans="1:9" s="2" customFormat="1" ht="21.75" customHeight="1">
      <c r="A5007" s="8" t="s">
        <v>30</v>
      </c>
      <c r="B5007" s="8" t="s">
        <v>15</v>
      </c>
      <c r="C5007" s="9" t="str">
        <f t="shared" si="125"/>
        <v>230138</v>
      </c>
      <c r="D5007" s="9" t="str">
        <f>"230910901"</f>
        <v>230910901</v>
      </c>
      <c r="E5007" s="10">
        <v>0</v>
      </c>
      <c r="F5007" s="10"/>
      <c r="G5007" s="10">
        <v>0</v>
      </c>
      <c r="H5007" s="10"/>
      <c r="I5007" s="10">
        <v>0</v>
      </c>
    </row>
    <row r="5008" spans="1:9" s="3" customFormat="1" ht="21.75" customHeight="1">
      <c r="A5008" s="8" t="s">
        <v>30</v>
      </c>
      <c r="B5008" s="8" t="s">
        <v>15</v>
      </c>
      <c r="C5008" s="9" t="str">
        <f t="shared" si="125"/>
        <v>230138</v>
      </c>
      <c r="D5008" s="9" t="str">
        <f>"230910911"</f>
        <v>230910911</v>
      </c>
      <c r="E5008" s="10">
        <v>0</v>
      </c>
      <c r="F5008" s="10"/>
      <c r="G5008" s="10">
        <v>0</v>
      </c>
      <c r="H5008" s="10"/>
      <c r="I5008" s="10">
        <v>0</v>
      </c>
    </row>
    <row r="5009" spans="1:9" s="2" customFormat="1" ht="21.75" customHeight="1">
      <c r="A5009" s="8" t="s">
        <v>30</v>
      </c>
      <c r="B5009" s="8" t="s">
        <v>15</v>
      </c>
      <c r="C5009" s="9" t="str">
        <f t="shared" si="125"/>
        <v>230138</v>
      </c>
      <c r="D5009" s="9" t="str">
        <f>"230910914"</f>
        <v>230910914</v>
      </c>
      <c r="E5009" s="10">
        <v>0</v>
      </c>
      <c r="F5009" s="10"/>
      <c r="G5009" s="10">
        <v>0</v>
      </c>
      <c r="H5009" s="10"/>
      <c r="I5009" s="10">
        <v>0</v>
      </c>
    </row>
    <row r="5010" spans="1:9" s="2" customFormat="1" ht="21.75" customHeight="1">
      <c r="A5010" s="8" t="s">
        <v>30</v>
      </c>
      <c r="B5010" s="8" t="s">
        <v>15</v>
      </c>
      <c r="C5010" s="9" t="str">
        <f t="shared" si="125"/>
        <v>230138</v>
      </c>
      <c r="D5010" s="9" t="str">
        <f>"230910920"</f>
        <v>230910920</v>
      </c>
      <c r="E5010" s="10">
        <v>0</v>
      </c>
      <c r="F5010" s="10"/>
      <c r="G5010" s="10">
        <v>0</v>
      </c>
      <c r="H5010" s="10"/>
      <c r="I5010" s="10">
        <v>0</v>
      </c>
    </row>
    <row r="5011" spans="1:9" s="2" customFormat="1" ht="21.75" customHeight="1">
      <c r="A5011" s="8" t="s">
        <v>30</v>
      </c>
      <c r="B5011" s="8" t="s">
        <v>15</v>
      </c>
      <c r="C5011" s="9" t="str">
        <f t="shared" si="125"/>
        <v>230138</v>
      </c>
      <c r="D5011" s="9" t="str">
        <f>"230910921"</f>
        <v>230910921</v>
      </c>
      <c r="E5011" s="10">
        <v>0</v>
      </c>
      <c r="F5011" s="10"/>
      <c r="G5011" s="10">
        <v>0</v>
      </c>
      <c r="H5011" s="10"/>
      <c r="I5011" s="10">
        <v>0</v>
      </c>
    </row>
    <row r="5012" spans="1:9" s="2" customFormat="1" ht="21.75" customHeight="1">
      <c r="A5012" s="8" t="s">
        <v>30</v>
      </c>
      <c r="B5012" s="8" t="s">
        <v>15</v>
      </c>
      <c r="C5012" s="9" t="str">
        <f t="shared" si="125"/>
        <v>230138</v>
      </c>
      <c r="D5012" s="9" t="str">
        <f>"230910924"</f>
        <v>230910924</v>
      </c>
      <c r="E5012" s="10">
        <v>0</v>
      </c>
      <c r="F5012" s="10"/>
      <c r="G5012" s="10">
        <v>0</v>
      </c>
      <c r="H5012" s="10"/>
      <c r="I5012" s="10">
        <v>0</v>
      </c>
    </row>
    <row r="5013" spans="1:9" s="2" customFormat="1" ht="21.75" customHeight="1">
      <c r="A5013" s="8" t="s">
        <v>30</v>
      </c>
      <c r="B5013" s="8" t="s">
        <v>15</v>
      </c>
      <c r="C5013" s="9" t="str">
        <f t="shared" si="125"/>
        <v>230138</v>
      </c>
      <c r="D5013" s="9" t="str">
        <f>"230910925"</f>
        <v>230910925</v>
      </c>
      <c r="E5013" s="10">
        <v>0</v>
      </c>
      <c r="F5013" s="10"/>
      <c r="G5013" s="10">
        <v>0</v>
      </c>
      <c r="H5013" s="10"/>
      <c r="I5013" s="10">
        <v>0</v>
      </c>
    </row>
    <row r="5014" spans="1:9" s="3" customFormat="1" ht="21.75" customHeight="1">
      <c r="A5014" s="8" t="s">
        <v>30</v>
      </c>
      <c r="B5014" s="8" t="s">
        <v>15</v>
      </c>
      <c r="C5014" s="9" t="str">
        <f t="shared" si="125"/>
        <v>230138</v>
      </c>
      <c r="D5014" s="9" t="str">
        <f>"230910926"</f>
        <v>230910926</v>
      </c>
      <c r="E5014" s="10">
        <v>0</v>
      </c>
      <c r="F5014" s="10"/>
      <c r="G5014" s="10">
        <v>0</v>
      </c>
      <c r="H5014" s="10"/>
      <c r="I5014" s="10">
        <v>0</v>
      </c>
    </row>
    <row r="5015" spans="1:9" s="2" customFormat="1" ht="21.75" customHeight="1">
      <c r="A5015" s="8" t="s">
        <v>30</v>
      </c>
      <c r="B5015" s="8" t="s">
        <v>15</v>
      </c>
      <c r="C5015" s="9" t="str">
        <f t="shared" si="125"/>
        <v>230138</v>
      </c>
      <c r="D5015" s="9" t="str">
        <f>"230910928"</f>
        <v>230910928</v>
      </c>
      <c r="E5015" s="10">
        <v>0</v>
      </c>
      <c r="F5015" s="10"/>
      <c r="G5015" s="10">
        <v>0</v>
      </c>
      <c r="H5015" s="10"/>
      <c r="I5015" s="10">
        <v>0</v>
      </c>
    </row>
    <row r="5016" spans="1:9" s="2" customFormat="1" ht="21.75" customHeight="1">
      <c r="A5016" s="8" t="s">
        <v>30</v>
      </c>
      <c r="B5016" s="8" t="s">
        <v>15</v>
      </c>
      <c r="C5016" s="9" t="str">
        <f t="shared" si="125"/>
        <v>230138</v>
      </c>
      <c r="D5016" s="9" t="str">
        <f>"230911002"</f>
        <v>230911002</v>
      </c>
      <c r="E5016" s="10">
        <v>0</v>
      </c>
      <c r="F5016" s="10"/>
      <c r="G5016" s="10">
        <v>0</v>
      </c>
      <c r="H5016" s="10"/>
      <c r="I5016" s="10">
        <v>0</v>
      </c>
    </row>
    <row r="5017" spans="1:9" s="3" customFormat="1" ht="21.75" customHeight="1">
      <c r="A5017" s="8" t="s">
        <v>30</v>
      </c>
      <c r="B5017" s="8" t="s">
        <v>15</v>
      </c>
      <c r="C5017" s="9" t="str">
        <f t="shared" si="125"/>
        <v>230138</v>
      </c>
      <c r="D5017" s="9" t="str">
        <f>"230911004"</f>
        <v>230911004</v>
      </c>
      <c r="E5017" s="10">
        <v>0</v>
      </c>
      <c r="F5017" s="10"/>
      <c r="G5017" s="10">
        <v>0</v>
      </c>
      <c r="H5017" s="10"/>
      <c r="I5017" s="10">
        <v>0</v>
      </c>
    </row>
    <row r="5018" spans="1:9" s="2" customFormat="1" ht="21.75" customHeight="1">
      <c r="A5018" s="8" t="s">
        <v>30</v>
      </c>
      <c r="B5018" s="8" t="s">
        <v>15</v>
      </c>
      <c r="C5018" s="9" t="str">
        <f t="shared" si="125"/>
        <v>230138</v>
      </c>
      <c r="D5018" s="9" t="str">
        <f>"230911006"</f>
        <v>230911006</v>
      </c>
      <c r="E5018" s="10">
        <v>0</v>
      </c>
      <c r="F5018" s="10"/>
      <c r="G5018" s="10">
        <v>0</v>
      </c>
      <c r="H5018" s="10"/>
      <c r="I5018" s="10">
        <v>0</v>
      </c>
    </row>
    <row r="5019" spans="1:9" s="2" customFormat="1" ht="21.75" customHeight="1">
      <c r="A5019" s="8" t="s">
        <v>30</v>
      </c>
      <c r="B5019" s="8" t="s">
        <v>15</v>
      </c>
      <c r="C5019" s="9" t="str">
        <f t="shared" si="125"/>
        <v>230138</v>
      </c>
      <c r="D5019" s="9" t="str">
        <f>"230911008"</f>
        <v>230911008</v>
      </c>
      <c r="E5019" s="10">
        <v>0</v>
      </c>
      <c r="F5019" s="10"/>
      <c r="G5019" s="10">
        <v>0</v>
      </c>
      <c r="H5019" s="10"/>
      <c r="I5019" s="10">
        <v>0</v>
      </c>
    </row>
    <row r="5020" spans="1:9" s="2" customFormat="1" ht="21.75" customHeight="1">
      <c r="A5020" s="8" t="s">
        <v>30</v>
      </c>
      <c r="B5020" s="8" t="s">
        <v>15</v>
      </c>
      <c r="C5020" s="9" t="str">
        <f t="shared" si="125"/>
        <v>230138</v>
      </c>
      <c r="D5020" s="9" t="str">
        <f>"230911009"</f>
        <v>230911009</v>
      </c>
      <c r="E5020" s="10">
        <v>0</v>
      </c>
      <c r="F5020" s="10"/>
      <c r="G5020" s="10">
        <v>0</v>
      </c>
      <c r="H5020" s="10"/>
      <c r="I5020" s="10">
        <v>0</v>
      </c>
    </row>
    <row r="5021" spans="1:9" s="2" customFormat="1" ht="21.75" customHeight="1">
      <c r="A5021" s="8" t="s">
        <v>30</v>
      </c>
      <c r="B5021" s="8" t="s">
        <v>15</v>
      </c>
      <c r="C5021" s="9" t="str">
        <f t="shared" si="125"/>
        <v>230138</v>
      </c>
      <c r="D5021" s="9" t="str">
        <f>"230911018"</f>
        <v>230911018</v>
      </c>
      <c r="E5021" s="10">
        <v>0</v>
      </c>
      <c r="F5021" s="10"/>
      <c r="G5021" s="10">
        <v>0</v>
      </c>
      <c r="H5021" s="10"/>
      <c r="I5021" s="10">
        <v>0</v>
      </c>
    </row>
    <row r="5022" spans="1:9" s="2" customFormat="1" ht="21.75" customHeight="1">
      <c r="A5022" s="8" t="s">
        <v>30</v>
      </c>
      <c r="B5022" s="8" t="s">
        <v>15</v>
      </c>
      <c r="C5022" s="9" t="str">
        <f t="shared" si="125"/>
        <v>230138</v>
      </c>
      <c r="D5022" s="9" t="str">
        <f>"230911019"</f>
        <v>230911019</v>
      </c>
      <c r="E5022" s="10">
        <v>0</v>
      </c>
      <c r="F5022" s="10"/>
      <c r="G5022" s="10">
        <v>0</v>
      </c>
      <c r="H5022" s="10"/>
      <c r="I5022" s="10">
        <v>0</v>
      </c>
    </row>
    <row r="5023" spans="1:9" s="2" customFormat="1" ht="21.75" customHeight="1">
      <c r="A5023" s="8" t="s">
        <v>30</v>
      </c>
      <c r="B5023" s="8" t="s">
        <v>15</v>
      </c>
      <c r="C5023" s="9" t="str">
        <f t="shared" si="125"/>
        <v>230138</v>
      </c>
      <c r="D5023" s="9" t="str">
        <f>"230911025"</f>
        <v>230911025</v>
      </c>
      <c r="E5023" s="10">
        <v>0</v>
      </c>
      <c r="F5023" s="10"/>
      <c r="G5023" s="10">
        <v>0</v>
      </c>
      <c r="H5023" s="10"/>
      <c r="I5023" s="10">
        <v>0</v>
      </c>
    </row>
    <row r="5024" spans="1:9" s="2" customFormat="1" ht="21.75" customHeight="1">
      <c r="A5024" s="8" t="s">
        <v>30</v>
      </c>
      <c r="B5024" s="8" t="s">
        <v>15</v>
      </c>
      <c r="C5024" s="9" t="str">
        <f t="shared" si="125"/>
        <v>230138</v>
      </c>
      <c r="D5024" s="9" t="str">
        <f>"230911029"</f>
        <v>230911029</v>
      </c>
      <c r="E5024" s="10">
        <v>0</v>
      </c>
      <c r="F5024" s="10"/>
      <c r="G5024" s="10">
        <v>0</v>
      </c>
      <c r="H5024" s="10"/>
      <c r="I5024" s="10">
        <v>0</v>
      </c>
    </row>
    <row r="5025" spans="1:9" ht="21.75" customHeight="1">
      <c r="A5025" s="8" t="s">
        <v>30</v>
      </c>
      <c r="B5025" s="8" t="s">
        <v>16</v>
      </c>
      <c r="C5025" s="9" t="str">
        <f t="shared" ref="C5025:C5059" si="126">"230139"</f>
        <v>230139</v>
      </c>
      <c r="D5025" s="9" t="str">
        <f>"230911129"</f>
        <v>230911129</v>
      </c>
      <c r="E5025" s="10">
        <v>74.8</v>
      </c>
      <c r="F5025" s="10"/>
      <c r="G5025" s="10">
        <v>80.5</v>
      </c>
      <c r="H5025" s="10"/>
      <c r="I5025" s="10">
        <v>78.22</v>
      </c>
    </row>
    <row r="5026" spans="1:9" ht="21.75" customHeight="1">
      <c r="A5026" s="8" t="s">
        <v>30</v>
      </c>
      <c r="B5026" s="8" t="s">
        <v>16</v>
      </c>
      <c r="C5026" s="9" t="str">
        <f t="shared" si="126"/>
        <v>230139</v>
      </c>
      <c r="D5026" s="9" t="str">
        <f>"230911201"</f>
        <v>230911201</v>
      </c>
      <c r="E5026" s="10">
        <v>78.48</v>
      </c>
      <c r="F5026" s="10"/>
      <c r="G5026" s="10">
        <v>76</v>
      </c>
      <c r="H5026" s="10"/>
      <c r="I5026" s="10">
        <v>76.989999999999995</v>
      </c>
    </row>
    <row r="5027" spans="1:9" s="1" customFormat="1" ht="21.75" customHeight="1">
      <c r="A5027" s="8" t="s">
        <v>30</v>
      </c>
      <c r="B5027" s="8" t="s">
        <v>16</v>
      </c>
      <c r="C5027" s="9" t="str">
        <f t="shared" si="126"/>
        <v>230139</v>
      </c>
      <c r="D5027" s="9" t="str">
        <f>"230911103"</f>
        <v>230911103</v>
      </c>
      <c r="E5027" s="10">
        <v>72.28</v>
      </c>
      <c r="F5027" s="10"/>
      <c r="G5027" s="10">
        <v>80</v>
      </c>
      <c r="H5027" s="10"/>
      <c r="I5027" s="10">
        <v>76.91</v>
      </c>
    </row>
    <row r="5028" spans="1:9" ht="21.75" customHeight="1">
      <c r="A5028" s="8" t="s">
        <v>30</v>
      </c>
      <c r="B5028" s="8" t="s">
        <v>16</v>
      </c>
      <c r="C5028" s="9" t="str">
        <f t="shared" si="126"/>
        <v>230139</v>
      </c>
      <c r="D5028" s="9" t="str">
        <f>"230911119"</f>
        <v>230911119</v>
      </c>
      <c r="E5028" s="10">
        <v>78.150000000000006</v>
      </c>
      <c r="F5028" s="10"/>
      <c r="G5028" s="10">
        <v>74.5</v>
      </c>
      <c r="H5028" s="10"/>
      <c r="I5028" s="10">
        <v>75.959999999999994</v>
      </c>
    </row>
    <row r="5029" spans="1:9" ht="21.75" customHeight="1">
      <c r="A5029" s="8" t="s">
        <v>30</v>
      </c>
      <c r="B5029" s="8" t="s">
        <v>16</v>
      </c>
      <c r="C5029" s="9" t="str">
        <f t="shared" si="126"/>
        <v>230139</v>
      </c>
      <c r="D5029" s="9" t="str">
        <f>"230911104"</f>
        <v>230911104</v>
      </c>
      <c r="E5029" s="10">
        <v>66.42</v>
      </c>
      <c r="F5029" s="10"/>
      <c r="G5029" s="10">
        <v>80.5</v>
      </c>
      <c r="H5029" s="10"/>
      <c r="I5029" s="10">
        <v>74.87</v>
      </c>
    </row>
    <row r="5030" spans="1:9" ht="21.75" customHeight="1">
      <c r="A5030" s="8" t="s">
        <v>30</v>
      </c>
      <c r="B5030" s="8" t="s">
        <v>16</v>
      </c>
      <c r="C5030" s="9" t="str">
        <f t="shared" si="126"/>
        <v>230139</v>
      </c>
      <c r="D5030" s="9" t="str">
        <f>"230911106"</f>
        <v>230911106</v>
      </c>
      <c r="E5030" s="10">
        <v>68.48</v>
      </c>
      <c r="F5030" s="10"/>
      <c r="G5030" s="10">
        <v>78</v>
      </c>
      <c r="H5030" s="10"/>
      <c r="I5030" s="10">
        <v>74.19</v>
      </c>
    </row>
    <row r="5031" spans="1:9" ht="21.75" customHeight="1">
      <c r="A5031" s="8" t="s">
        <v>30</v>
      </c>
      <c r="B5031" s="8" t="s">
        <v>16</v>
      </c>
      <c r="C5031" s="9" t="str">
        <f t="shared" si="126"/>
        <v>230139</v>
      </c>
      <c r="D5031" s="9" t="str">
        <f>"230911122"</f>
        <v>230911122</v>
      </c>
      <c r="E5031" s="10">
        <v>74.22</v>
      </c>
      <c r="F5031" s="10"/>
      <c r="G5031" s="10">
        <v>73.5</v>
      </c>
      <c r="H5031" s="10"/>
      <c r="I5031" s="10">
        <v>73.790000000000006</v>
      </c>
    </row>
    <row r="5032" spans="1:9" ht="21.75" customHeight="1">
      <c r="A5032" s="8" t="s">
        <v>30</v>
      </c>
      <c r="B5032" s="8" t="s">
        <v>16</v>
      </c>
      <c r="C5032" s="9" t="str">
        <f t="shared" si="126"/>
        <v>230139</v>
      </c>
      <c r="D5032" s="9" t="str">
        <f>"230911115"</f>
        <v>230911115</v>
      </c>
      <c r="E5032" s="10">
        <v>74.23</v>
      </c>
      <c r="F5032" s="10"/>
      <c r="G5032" s="10">
        <v>72.5</v>
      </c>
      <c r="H5032" s="10"/>
      <c r="I5032" s="10">
        <v>73.19</v>
      </c>
    </row>
    <row r="5033" spans="1:9" s="1" customFormat="1" ht="21.75" customHeight="1">
      <c r="A5033" s="8" t="s">
        <v>30</v>
      </c>
      <c r="B5033" s="8" t="s">
        <v>16</v>
      </c>
      <c r="C5033" s="9" t="str">
        <f t="shared" si="126"/>
        <v>230139</v>
      </c>
      <c r="D5033" s="9" t="str">
        <f>"230911117"</f>
        <v>230911117</v>
      </c>
      <c r="E5033" s="10">
        <v>66.849999999999994</v>
      </c>
      <c r="F5033" s="10"/>
      <c r="G5033" s="10">
        <v>76.5</v>
      </c>
      <c r="H5033" s="10"/>
      <c r="I5033" s="10">
        <v>72.64</v>
      </c>
    </row>
    <row r="5034" spans="1:9" s="1" customFormat="1" ht="21.75" customHeight="1">
      <c r="A5034" s="8" t="s">
        <v>30</v>
      </c>
      <c r="B5034" s="8" t="s">
        <v>16</v>
      </c>
      <c r="C5034" s="9" t="str">
        <f t="shared" si="126"/>
        <v>230139</v>
      </c>
      <c r="D5034" s="9" t="str">
        <f>"230911130"</f>
        <v>230911130</v>
      </c>
      <c r="E5034" s="10">
        <v>68.38</v>
      </c>
      <c r="F5034" s="10"/>
      <c r="G5034" s="10">
        <v>75</v>
      </c>
      <c r="H5034" s="10"/>
      <c r="I5034" s="10">
        <v>72.349999999999994</v>
      </c>
    </row>
    <row r="5035" spans="1:9" ht="21.75" customHeight="1">
      <c r="A5035" s="8" t="s">
        <v>30</v>
      </c>
      <c r="B5035" s="8" t="s">
        <v>16</v>
      </c>
      <c r="C5035" s="9" t="str">
        <f t="shared" si="126"/>
        <v>230139</v>
      </c>
      <c r="D5035" s="9" t="str">
        <f>"230911128"</f>
        <v>230911128</v>
      </c>
      <c r="E5035" s="10">
        <v>69.05</v>
      </c>
      <c r="F5035" s="10"/>
      <c r="G5035" s="10">
        <v>74.5</v>
      </c>
      <c r="H5035" s="10"/>
      <c r="I5035" s="10">
        <v>72.319999999999993</v>
      </c>
    </row>
    <row r="5036" spans="1:9" s="1" customFormat="1" ht="21.75" customHeight="1">
      <c r="A5036" s="8" t="s">
        <v>30</v>
      </c>
      <c r="B5036" s="8" t="s">
        <v>16</v>
      </c>
      <c r="C5036" s="9" t="str">
        <f t="shared" si="126"/>
        <v>230139</v>
      </c>
      <c r="D5036" s="9" t="str">
        <f>"230911118"</f>
        <v>230911118</v>
      </c>
      <c r="E5036" s="10">
        <v>67.099999999999994</v>
      </c>
      <c r="F5036" s="10"/>
      <c r="G5036" s="10">
        <v>73</v>
      </c>
      <c r="H5036" s="10"/>
      <c r="I5036" s="10">
        <v>70.64</v>
      </c>
    </row>
    <row r="5037" spans="1:9" ht="21.75" customHeight="1">
      <c r="A5037" s="8" t="s">
        <v>30</v>
      </c>
      <c r="B5037" s="8" t="s">
        <v>16</v>
      </c>
      <c r="C5037" s="9" t="str">
        <f t="shared" si="126"/>
        <v>230139</v>
      </c>
      <c r="D5037" s="9" t="str">
        <f>"230911126"</f>
        <v>230911126</v>
      </c>
      <c r="E5037" s="10">
        <v>68.48</v>
      </c>
      <c r="F5037" s="10"/>
      <c r="G5037" s="10">
        <v>71.5</v>
      </c>
      <c r="H5037" s="10"/>
      <c r="I5037" s="10">
        <v>70.290000000000006</v>
      </c>
    </row>
    <row r="5038" spans="1:9" s="1" customFormat="1" ht="21.75" customHeight="1">
      <c r="A5038" s="8" t="s">
        <v>30</v>
      </c>
      <c r="B5038" s="8" t="s">
        <v>16</v>
      </c>
      <c r="C5038" s="9" t="str">
        <f t="shared" si="126"/>
        <v>230139</v>
      </c>
      <c r="D5038" s="9" t="str">
        <f>"230911125"</f>
        <v>230911125</v>
      </c>
      <c r="E5038" s="10">
        <v>55.6</v>
      </c>
      <c r="F5038" s="10"/>
      <c r="G5038" s="10">
        <v>80</v>
      </c>
      <c r="H5038" s="10"/>
      <c r="I5038" s="10">
        <v>70.239999999999995</v>
      </c>
    </row>
    <row r="5039" spans="1:9" ht="21.75" customHeight="1">
      <c r="A5039" s="8" t="s">
        <v>30</v>
      </c>
      <c r="B5039" s="8" t="s">
        <v>16</v>
      </c>
      <c r="C5039" s="9" t="str">
        <f t="shared" si="126"/>
        <v>230139</v>
      </c>
      <c r="D5039" s="9" t="str">
        <f>"230911108"</f>
        <v>230911108</v>
      </c>
      <c r="E5039" s="10">
        <v>67.19</v>
      </c>
      <c r="F5039" s="10"/>
      <c r="G5039" s="10">
        <v>71.5</v>
      </c>
      <c r="H5039" s="10"/>
      <c r="I5039" s="10">
        <v>69.78</v>
      </c>
    </row>
    <row r="5040" spans="1:9" ht="21.75" customHeight="1">
      <c r="A5040" s="8" t="s">
        <v>30</v>
      </c>
      <c r="B5040" s="8" t="s">
        <v>16</v>
      </c>
      <c r="C5040" s="9" t="str">
        <f t="shared" si="126"/>
        <v>230139</v>
      </c>
      <c r="D5040" s="9" t="str">
        <f>"230911112"</f>
        <v>230911112</v>
      </c>
      <c r="E5040" s="10">
        <v>61.7</v>
      </c>
      <c r="F5040" s="10"/>
      <c r="G5040" s="10">
        <v>74</v>
      </c>
      <c r="H5040" s="10"/>
      <c r="I5040" s="10">
        <v>69.08</v>
      </c>
    </row>
    <row r="5041" spans="1:9" s="1" customFormat="1" ht="21.75" customHeight="1">
      <c r="A5041" s="8" t="s">
        <v>30</v>
      </c>
      <c r="B5041" s="8" t="s">
        <v>16</v>
      </c>
      <c r="C5041" s="9" t="str">
        <f t="shared" si="126"/>
        <v>230139</v>
      </c>
      <c r="D5041" s="9" t="str">
        <f>"230911204"</f>
        <v>230911204</v>
      </c>
      <c r="E5041" s="10">
        <v>63.31</v>
      </c>
      <c r="F5041" s="10"/>
      <c r="G5041" s="10">
        <v>72.5</v>
      </c>
      <c r="H5041" s="10"/>
      <c r="I5041" s="10">
        <v>68.819999999999993</v>
      </c>
    </row>
    <row r="5042" spans="1:9" s="1" customFormat="1" ht="21.75" customHeight="1">
      <c r="A5042" s="8" t="s">
        <v>30</v>
      </c>
      <c r="B5042" s="8" t="s">
        <v>16</v>
      </c>
      <c r="C5042" s="9" t="str">
        <f t="shared" si="126"/>
        <v>230139</v>
      </c>
      <c r="D5042" s="9" t="str">
        <f>"230911109"</f>
        <v>230911109</v>
      </c>
      <c r="E5042" s="10">
        <v>58.36</v>
      </c>
      <c r="F5042" s="10"/>
      <c r="G5042" s="10">
        <v>74</v>
      </c>
      <c r="H5042" s="10"/>
      <c r="I5042" s="10">
        <v>67.739999999999995</v>
      </c>
    </row>
    <row r="5043" spans="1:9" s="1" customFormat="1" ht="21.75" customHeight="1">
      <c r="A5043" s="8" t="s">
        <v>30</v>
      </c>
      <c r="B5043" s="8" t="s">
        <v>16</v>
      </c>
      <c r="C5043" s="9" t="str">
        <f t="shared" si="126"/>
        <v>230139</v>
      </c>
      <c r="D5043" s="9" t="str">
        <f>"230911107"</f>
        <v>230911107</v>
      </c>
      <c r="E5043" s="10">
        <v>62.37</v>
      </c>
      <c r="F5043" s="10"/>
      <c r="G5043" s="10">
        <v>70</v>
      </c>
      <c r="H5043" s="10"/>
      <c r="I5043" s="10">
        <v>66.95</v>
      </c>
    </row>
    <row r="5044" spans="1:9" s="1" customFormat="1" ht="21.75" customHeight="1">
      <c r="A5044" s="8" t="s">
        <v>30</v>
      </c>
      <c r="B5044" s="8" t="s">
        <v>16</v>
      </c>
      <c r="C5044" s="9" t="str">
        <f t="shared" si="126"/>
        <v>230139</v>
      </c>
      <c r="D5044" s="9" t="str">
        <f>"230911127"</f>
        <v>230911127</v>
      </c>
      <c r="E5044" s="10">
        <v>61.8</v>
      </c>
      <c r="F5044" s="10"/>
      <c r="G5044" s="10">
        <v>69.5</v>
      </c>
      <c r="H5044" s="10"/>
      <c r="I5044" s="10">
        <v>66.42</v>
      </c>
    </row>
    <row r="5045" spans="1:9" ht="21.75" customHeight="1">
      <c r="A5045" s="8" t="s">
        <v>30</v>
      </c>
      <c r="B5045" s="8" t="s">
        <v>16</v>
      </c>
      <c r="C5045" s="9" t="str">
        <f t="shared" si="126"/>
        <v>230139</v>
      </c>
      <c r="D5045" s="9" t="str">
        <f>"230911116"</f>
        <v>230911116</v>
      </c>
      <c r="E5045" s="10">
        <v>54.8</v>
      </c>
      <c r="F5045" s="10"/>
      <c r="G5045" s="10">
        <v>73</v>
      </c>
      <c r="H5045" s="10"/>
      <c r="I5045" s="10">
        <v>65.72</v>
      </c>
    </row>
    <row r="5046" spans="1:9" ht="21.75" customHeight="1">
      <c r="A5046" s="8" t="s">
        <v>30</v>
      </c>
      <c r="B5046" s="8" t="s">
        <v>16</v>
      </c>
      <c r="C5046" s="9" t="str">
        <f t="shared" si="126"/>
        <v>230139</v>
      </c>
      <c r="D5046" s="9" t="str">
        <f>"230911111"</f>
        <v>230911111</v>
      </c>
      <c r="E5046" s="10">
        <v>58.93</v>
      </c>
      <c r="F5046" s="10"/>
      <c r="G5046" s="10">
        <v>70</v>
      </c>
      <c r="H5046" s="10"/>
      <c r="I5046" s="10">
        <v>65.569999999999993</v>
      </c>
    </row>
    <row r="5047" spans="1:9" ht="21.75" customHeight="1">
      <c r="A5047" s="8" t="s">
        <v>30</v>
      </c>
      <c r="B5047" s="8" t="s">
        <v>16</v>
      </c>
      <c r="C5047" s="9" t="str">
        <f t="shared" si="126"/>
        <v>230139</v>
      </c>
      <c r="D5047" s="9" t="str">
        <f>"230911030"</f>
        <v>230911030</v>
      </c>
      <c r="E5047" s="10">
        <v>59.18</v>
      </c>
      <c r="F5047" s="10"/>
      <c r="G5047" s="10">
        <v>63.5</v>
      </c>
      <c r="H5047" s="10"/>
      <c r="I5047" s="10">
        <v>61.77</v>
      </c>
    </row>
    <row r="5048" spans="1:9" ht="21.75" customHeight="1">
      <c r="A5048" s="8" t="s">
        <v>30</v>
      </c>
      <c r="B5048" s="8" t="s">
        <v>16</v>
      </c>
      <c r="C5048" s="9" t="str">
        <f t="shared" si="126"/>
        <v>230139</v>
      </c>
      <c r="D5048" s="9" t="str">
        <f>"230911202"</f>
        <v>230911202</v>
      </c>
      <c r="E5048" s="10">
        <v>61.01</v>
      </c>
      <c r="F5048" s="10"/>
      <c r="G5048" s="10">
        <v>59</v>
      </c>
      <c r="H5048" s="10"/>
      <c r="I5048" s="10">
        <v>59.8</v>
      </c>
    </row>
    <row r="5049" spans="1:9" ht="21.75" customHeight="1">
      <c r="A5049" s="8" t="s">
        <v>30</v>
      </c>
      <c r="B5049" s="8" t="s">
        <v>16</v>
      </c>
      <c r="C5049" s="9" t="str">
        <f t="shared" si="126"/>
        <v>230139</v>
      </c>
      <c r="D5049" s="9" t="str">
        <f>"230911101"</f>
        <v>230911101</v>
      </c>
      <c r="E5049" s="10">
        <v>0</v>
      </c>
      <c r="F5049" s="10"/>
      <c r="G5049" s="10">
        <v>0</v>
      </c>
      <c r="H5049" s="10"/>
      <c r="I5049" s="10">
        <v>0</v>
      </c>
    </row>
    <row r="5050" spans="1:9" ht="21.75" customHeight="1">
      <c r="A5050" s="8" t="s">
        <v>30</v>
      </c>
      <c r="B5050" s="8" t="s">
        <v>16</v>
      </c>
      <c r="C5050" s="9" t="str">
        <f t="shared" si="126"/>
        <v>230139</v>
      </c>
      <c r="D5050" s="9" t="str">
        <f>"230911102"</f>
        <v>230911102</v>
      </c>
      <c r="E5050" s="10">
        <v>0</v>
      </c>
      <c r="F5050" s="10"/>
      <c r="G5050" s="10">
        <v>0</v>
      </c>
      <c r="H5050" s="10"/>
      <c r="I5050" s="10">
        <v>0</v>
      </c>
    </row>
    <row r="5051" spans="1:9" ht="21.75" customHeight="1">
      <c r="A5051" s="8" t="s">
        <v>30</v>
      </c>
      <c r="B5051" s="8" t="s">
        <v>16</v>
      </c>
      <c r="C5051" s="9" t="str">
        <f t="shared" si="126"/>
        <v>230139</v>
      </c>
      <c r="D5051" s="9" t="str">
        <f>"230911105"</f>
        <v>230911105</v>
      </c>
      <c r="E5051" s="10">
        <v>0</v>
      </c>
      <c r="F5051" s="10"/>
      <c r="G5051" s="10">
        <v>0</v>
      </c>
      <c r="H5051" s="10"/>
      <c r="I5051" s="10">
        <v>0</v>
      </c>
    </row>
    <row r="5052" spans="1:9" ht="21.75" customHeight="1">
      <c r="A5052" s="8" t="s">
        <v>30</v>
      </c>
      <c r="B5052" s="8" t="s">
        <v>16</v>
      </c>
      <c r="C5052" s="9" t="str">
        <f t="shared" si="126"/>
        <v>230139</v>
      </c>
      <c r="D5052" s="9" t="str">
        <f>"230911110"</f>
        <v>230911110</v>
      </c>
      <c r="E5052" s="10">
        <v>0</v>
      </c>
      <c r="F5052" s="10"/>
      <c r="G5052" s="10">
        <v>0</v>
      </c>
      <c r="H5052" s="10"/>
      <c r="I5052" s="10">
        <v>0</v>
      </c>
    </row>
    <row r="5053" spans="1:9" s="1" customFormat="1" ht="21.75" customHeight="1">
      <c r="A5053" s="8" t="s">
        <v>30</v>
      </c>
      <c r="B5053" s="8" t="s">
        <v>16</v>
      </c>
      <c r="C5053" s="9" t="str">
        <f t="shared" si="126"/>
        <v>230139</v>
      </c>
      <c r="D5053" s="9" t="str">
        <f>"230911113"</f>
        <v>230911113</v>
      </c>
      <c r="E5053" s="10">
        <v>0</v>
      </c>
      <c r="F5053" s="10"/>
      <c r="G5053" s="10">
        <v>0</v>
      </c>
      <c r="H5053" s="10"/>
      <c r="I5053" s="10">
        <v>0</v>
      </c>
    </row>
    <row r="5054" spans="1:9" ht="21.75" customHeight="1">
      <c r="A5054" s="8" t="s">
        <v>30</v>
      </c>
      <c r="B5054" s="8" t="s">
        <v>16</v>
      </c>
      <c r="C5054" s="9" t="str">
        <f t="shared" si="126"/>
        <v>230139</v>
      </c>
      <c r="D5054" s="9" t="str">
        <f>"230911114"</f>
        <v>230911114</v>
      </c>
      <c r="E5054" s="10">
        <v>0</v>
      </c>
      <c r="F5054" s="10"/>
      <c r="G5054" s="10">
        <v>0</v>
      </c>
      <c r="H5054" s="10"/>
      <c r="I5054" s="10">
        <v>0</v>
      </c>
    </row>
    <row r="5055" spans="1:9" ht="21.75" customHeight="1">
      <c r="A5055" s="8" t="s">
        <v>30</v>
      </c>
      <c r="B5055" s="8" t="s">
        <v>16</v>
      </c>
      <c r="C5055" s="9" t="str">
        <f t="shared" si="126"/>
        <v>230139</v>
      </c>
      <c r="D5055" s="9" t="str">
        <f>"230911120"</f>
        <v>230911120</v>
      </c>
      <c r="E5055" s="10">
        <v>0</v>
      </c>
      <c r="F5055" s="10"/>
      <c r="G5055" s="10">
        <v>0</v>
      </c>
      <c r="H5055" s="10"/>
      <c r="I5055" s="10">
        <v>0</v>
      </c>
    </row>
    <row r="5056" spans="1:9" ht="21.75" customHeight="1">
      <c r="A5056" s="8" t="s">
        <v>30</v>
      </c>
      <c r="B5056" s="8" t="s">
        <v>16</v>
      </c>
      <c r="C5056" s="9" t="str">
        <f t="shared" si="126"/>
        <v>230139</v>
      </c>
      <c r="D5056" s="9" t="str">
        <f>"230911121"</f>
        <v>230911121</v>
      </c>
      <c r="E5056" s="10">
        <v>0</v>
      </c>
      <c r="F5056" s="10"/>
      <c r="G5056" s="10">
        <v>0</v>
      </c>
      <c r="H5056" s="10"/>
      <c r="I5056" s="10">
        <v>0</v>
      </c>
    </row>
    <row r="5057" spans="1:9" ht="21.75" customHeight="1">
      <c r="A5057" s="8" t="s">
        <v>30</v>
      </c>
      <c r="B5057" s="8" t="s">
        <v>16</v>
      </c>
      <c r="C5057" s="9" t="str">
        <f t="shared" si="126"/>
        <v>230139</v>
      </c>
      <c r="D5057" s="9" t="str">
        <f>"230911123"</f>
        <v>230911123</v>
      </c>
      <c r="E5057" s="10">
        <v>0</v>
      </c>
      <c r="F5057" s="10"/>
      <c r="G5057" s="10">
        <v>0</v>
      </c>
      <c r="H5057" s="10"/>
      <c r="I5057" s="10">
        <v>0</v>
      </c>
    </row>
    <row r="5058" spans="1:9" ht="21.75" customHeight="1">
      <c r="A5058" s="8" t="s">
        <v>30</v>
      </c>
      <c r="B5058" s="8" t="s">
        <v>16</v>
      </c>
      <c r="C5058" s="9" t="str">
        <f t="shared" si="126"/>
        <v>230139</v>
      </c>
      <c r="D5058" s="9" t="str">
        <f>"230911124"</f>
        <v>230911124</v>
      </c>
      <c r="E5058" s="10">
        <v>0</v>
      </c>
      <c r="F5058" s="10"/>
      <c r="G5058" s="10">
        <v>0</v>
      </c>
      <c r="H5058" s="10"/>
      <c r="I5058" s="10">
        <v>0</v>
      </c>
    </row>
    <row r="5059" spans="1:9" s="1" customFormat="1" ht="21.75" customHeight="1">
      <c r="A5059" s="8" t="s">
        <v>30</v>
      </c>
      <c r="B5059" s="8" t="s">
        <v>16</v>
      </c>
      <c r="C5059" s="9" t="str">
        <f t="shared" si="126"/>
        <v>230139</v>
      </c>
      <c r="D5059" s="9" t="str">
        <f>"230911203"</f>
        <v>230911203</v>
      </c>
      <c r="E5059" s="10">
        <v>0</v>
      </c>
      <c r="F5059" s="10"/>
      <c r="G5059" s="10">
        <v>0</v>
      </c>
      <c r="H5059" s="10"/>
      <c r="I5059" s="10">
        <v>0</v>
      </c>
    </row>
  </sheetData>
  <sortState ref="A3:XCM5059">
    <sortCondition ref="C3:C5059"/>
    <sortCondition descending="1" ref="I3:I5059"/>
  </sortState>
  <mergeCells count="1">
    <mergeCell ref="A1:I1"/>
  </mergeCells>
  <phoneticPr fontId="5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笔试成绩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2023-11-28T07:19:00Z</dcterms:created>
  <dcterms:modified xsi:type="dcterms:W3CDTF">2023-12-20T06:52:30Z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654E3D418FAB4C7F8DE3AE7DBF5F35D3_13</vt:lpwstr>
  </property>
  <property fmtid="{D5CDD505-2E9C-101B-9397-08002B2CF9AE}" pid="3" name="KSOProductBuildVer">
    <vt:lpwstr>2052-11.1.0.14309</vt:lpwstr>
  </property>
</Properties>
</file>